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2120" windowHeight="8388" activeTab="0"/>
  </bookViews>
  <sheets>
    <sheet name="Sammanfattning bil 1" sheetId="1" r:id="rId1"/>
    <sheet name="Intäkter bil 2" sheetId="2" r:id="rId2"/>
    <sheet name="kostnader bil 3" sheetId="3" r:id="rId3"/>
    <sheet name="delprogram bil 4" sheetId="4" r:id="rId4"/>
    <sheet name="Kostn efter oktmötet bil 5" sheetId="5" r:id="rId5"/>
    <sheet name="Reserv bilaga 6" sheetId="6" r:id="rId6"/>
    <sheet name="fördkostn Bil 7" sheetId="7" r:id="rId7"/>
    <sheet name="Xtra budget till okt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B">#REF!</definedName>
    <definedName name="BTILLE">#REF!</definedName>
    <definedName name="D">#REF!</definedName>
    <definedName name="E">#REF!</definedName>
    <definedName name="Jämförelse_intäkter_till_och_med_januari__1994_1993" localSheetId="1">'Intäkter bil 2'!$L$69:$O$112</definedName>
    <definedName name="Jämförelse_intäkter_till_och_med_januari__1994_1993" localSheetId="2">#REF!</definedName>
    <definedName name="Jämförelse_intäkter_till_och_med_januari__1994_1993" localSheetId="0">#REF!</definedName>
    <definedName name="Jämförelse_intäkter_till_och_med_januari__1994_1993">'[2]1998 ack.result.rapport'!$K$85:$R$128</definedName>
    <definedName name="KOSTNADER" localSheetId="6">#REF!</definedName>
    <definedName name="KOSTNADER" localSheetId="1">#REF!</definedName>
    <definedName name="KOSTNADER" localSheetId="2">#REF!</definedName>
    <definedName name="KOSTNADER" localSheetId="5">#REF!</definedName>
    <definedName name="KOSTNADER" localSheetId="0">#REF!</definedName>
    <definedName name="KOSTNADER">'[1]Int 83-96'!#REF!</definedName>
    <definedName name="oldres.rapport" localSheetId="4">#REF!</definedName>
    <definedName name="oldres.rapport">#REF!</definedName>
    <definedName name="overheadkostn">#REF!</definedName>
    <definedName name="Res.rapport" localSheetId="1">'Intäkter bil 2'!$A$2:$I$56</definedName>
    <definedName name="Res.rapport" localSheetId="2">#REF!</definedName>
    <definedName name="Res.rapport" localSheetId="0">#REF!</definedName>
    <definedName name="Res.rapport">'[2]1998 ack.result.rapport'!$C$2:$J$63</definedName>
    <definedName name="SE">#REF!</definedName>
    <definedName name="Senaste_månaden" localSheetId="1">'Intäkter bil 2'!$L$113:$O$117</definedName>
    <definedName name="Senaste_månaden" localSheetId="2">#REF!</definedName>
    <definedName name="Senaste_månaden" localSheetId="0">#REF!</definedName>
    <definedName name="Senaste_månaden">'[2]1998 ack.result.rapport'!$K$129:$R$133</definedName>
    <definedName name="_xlnm.Print_Area" localSheetId="3">'delprogram bil 4'!$A$1:$H$369</definedName>
    <definedName name="_xlnm.Print_Area" localSheetId="6">'fördkostn Bil 7'!$A$1:$K$82</definedName>
    <definedName name="_xlnm.Print_Area" localSheetId="1">'Intäkter bil 2'!$A$1:$J$54</definedName>
    <definedName name="_xlnm.Print_Titles" localSheetId="6">'fördkostn Bil 7'!$5:$8</definedName>
    <definedName name="_xlnm.Print_Titles" localSheetId="2">'kostnader bil 3'!$5:$6</definedName>
  </definedNames>
  <calcPr fullCalcOnLoad="1"/>
</workbook>
</file>

<file path=xl/comments2.xml><?xml version="1.0" encoding="utf-8"?>
<comments xmlns="http://schemas.openxmlformats.org/spreadsheetml/2006/main">
  <authors>
    <author>Datoransvarig Amnesty</author>
    <author>Datoransvarig</author>
  </authors>
  <commentList>
    <comment ref="E16" authorId="0">
      <text>
        <r>
          <rPr>
            <b/>
            <sz val="8"/>
            <rFont val="Tahoma"/>
            <family val="0"/>
          </rPr>
          <t>3211,3212,3213</t>
        </r>
      </text>
    </comment>
    <comment ref="E18" authorId="1">
      <text>
        <r>
          <rPr>
            <sz val="10"/>
            <rFont val="Tahoma"/>
            <family val="0"/>
          </rPr>
          <t xml:space="preserve">3180,3225,3520,3540,
3710,3720,3740, 3219
</t>
        </r>
      </text>
    </comment>
    <comment ref="E28" authorId="1">
      <text>
        <r>
          <rPr>
            <sz val="10"/>
            <rFont val="Tahoma"/>
            <family val="0"/>
          </rPr>
          <t xml:space="preserve">3160,3161,3162,3192
</t>
        </r>
      </text>
    </comment>
    <comment ref="E29" authorId="1">
      <text>
        <r>
          <rPr>
            <sz val="10"/>
            <rFont val="Tahoma"/>
            <family val="0"/>
          </rPr>
          <t xml:space="preserve">3150,3190,3191
</t>
        </r>
      </text>
    </comment>
    <comment ref="E31" authorId="1">
      <text>
        <r>
          <rPr>
            <b/>
            <sz val="10"/>
            <rFont val="Tahoma"/>
            <family val="0"/>
          </rPr>
          <t>3142,3270</t>
        </r>
        <r>
          <rPr>
            <sz val="10"/>
            <rFont val="Tahoma"/>
            <family val="0"/>
          </rPr>
          <t xml:space="preserve">
</t>
        </r>
      </text>
    </comment>
    <comment ref="E32" authorId="1">
      <text>
        <r>
          <rPr>
            <sz val="10"/>
            <rFont val="Tahoma"/>
            <family val="0"/>
          </rPr>
          <t xml:space="preserve">3140,3141
</t>
        </r>
      </text>
    </comment>
    <comment ref="E36" authorId="1">
      <text>
        <r>
          <rPr>
            <sz val="10"/>
            <rFont val="Tahoma"/>
            <family val="0"/>
          </rPr>
          <t xml:space="preserve">3115,3119,3181,3182,
</t>
        </r>
      </text>
    </comment>
    <comment ref="E41" authorId="1">
      <text>
        <r>
          <rPr>
            <sz val="10"/>
            <rFont val="Tahoma"/>
            <family val="0"/>
          </rPr>
          <t xml:space="preserve">
3113,3117,3118,</t>
        </r>
      </text>
    </comment>
    <comment ref="E47" authorId="1">
      <text>
        <r>
          <rPr>
            <b/>
            <sz val="10"/>
            <rFont val="Tahoma"/>
            <family val="0"/>
          </rPr>
          <t>8311,8312</t>
        </r>
        <r>
          <rPr>
            <sz val="10"/>
            <rFont val="Tahoma"/>
            <family val="0"/>
          </rPr>
          <t xml:space="preserve">
</t>
        </r>
      </text>
    </comment>
    <comment ref="E48" authorId="1">
      <text>
        <r>
          <rPr>
            <b/>
            <sz val="10"/>
            <rFont val="Tahoma"/>
            <family val="0"/>
          </rPr>
          <t>3600,3990,3999</t>
        </r>
        <r>
          <rPr>
            <sz val="10"/>
            <rFont val="Tahoma"/>
            <family val="0"/>
          </rPr>
          <t xml:space="preserve">
</t>
        </r>
      </text>
    </comment>
    <comment ref="E35" authorId="1">
      <text>
        <r>
          <rPr>
            <b/>
            <sz val="10"/>
            <rFont val="Tahoma"/>
            <family val="0"/>
          </rPr>
          <t xml:space="preserve">3110,3114
</t>
        </r>
        <r>
          <rPr>
            <sz val="10"/>
            <rFont val="Tahoma"/>
            <family val="0"/>
          </rPr>
          <t xml:space="preserve">
</t>
        </r>
      </text>
    </comment>
    <comment ref="E34" authorId="1">
      <text>
        <r>
          <rPr>
            <b/>
            <sz val="10"/>
            <rFont val="Tahoma"/>
            <family val="0"/>
          </rPr>
          <t>3111</t>
        </r>
        <r>
          <rPr>
            <sz val="10"/>
            <rFont val="Tahoma"/>
            <family val="0"/>
          </rPr>
          <t xml:space="preserve">
</t>
        </r>
      </text>
    </comment>
    <comment ref="C43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(32480-400-860)*-0,11</t>
        </r>
      </text>
    </comment>
    <comment ref="B43" authorId="1">
      <text>
        <r>
          <rPr>
            <b/>
            <sz val="8"/>
            <rFont val="Tahoma"/>
            <family val="0"/>
          </rPr>
          <t>Datoransvarig:</t>
        </r>
        <r>
          <rPr>
            <sz val="8"/>
            <rFont val="Tahoma"/>
            <family val="0"/>
          </rPr>
          <t xml:space="preserve">
(31655-400-600)*11%</t>
        </r>
      </text>
    </comment>
  </commentList>
</comments>
</file>

<file path=xl/comments4.xml><?xml version="1.0" encoding="utf-8"?>
<comments xmlns="http://schemas.openxmlformats.org/spreadsheetml/2006/main">
  <authors>
    <author>Datoransvarig</author>
  </authors>
  <commentList>
    <comment ref="J68" authorId="0">
      <text>
        <r>
          <rPr>
            <b/>
            <sz val="8"/>
            <rFont val="Tahoma"/>
            <family val="0"/>
          </rPr>
          <t>materialgruppen</t>
        </r>
      </text>
    </comment>
  </commentList>
</comments>
</file>

<file path=xl/comments7.xml><?xml version="1.0" encoding="utf-8"?>
<comments xmlns="http://schemas.openxmlformats.org/spreadsheetml/2006/main">
  <authors>
    <author>Datoransvarig Amnesty</author>
    <author>Amnesty International</author>
  </authors>
  <commentList>
    <comment ref="D79" authorId="0">
      <text>
        <r>
          <rPr>
            <sz val="8"/>
            <rFont val="Tahoma"/>
            <family val="0"/>
          </rPr>
          <t>Sekretariatskostnaderna har ökat med 364 tkr. Ökningen avser ny IT-projektanställning.
Personalkostnaderna har ökat med 1 Mkr då en del projekt och vikariat permanentats. 2000 hamnade 57 % av lönekostnaderna på dl. 2001 hamnar 54 % av lönekostnaderna där.
Några nya tjänster har egentligen inte tillkommit. Storleksförändringen beror också på löneökningar. Eftersom folk gör ungefär samma saker förra året som i år blir fördelningen lika.</t>
        </r>
      </text>
    </comment>
    <comment ref="O63" authorId="1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Q63" authorId="1">
      <text>
        <r>
          <rPr>
            <b/>
            <sz val="8"/>
            <rFont val="Tahoma"/>
            <family val="0"/>
          </rPr>
          <t>Tjänster som ej fördelas, se filen tidrapporter</t>
        </r>
      </text>
    </comment>
    <comment ref="Q64" authorId="1">
      <text>
        <r>
          <rPr>
            <b/>
            <sz val="8"/>
            <rFont val="Tahoma"/>
            <family val="0"/>
          </rPr>
          <t>Administrationsdel för de tjänster som fördelas</t>
        </r>
      </text>
    </comment>
  </commentList>
</comments>
</file>

<file path=xl/sharedStrings.xml><?xml version="1.0" encoding="utf-8"?>
<sst xmlns="http://schemas.openxmlformats.org/spreadsheetml/2006/main" count="770" uniqueCount="449">
  <si>
    <t>Ö-tidsersättning</t>
  </si>
  <si>
    <t>Friskvård</t>
  </si>
  <si>
    <t>Övriga personalkostn.</t>
  </si>
  <si>
    <t>Ungdomsarbete</t>
  </si>
  <si>
    <t>Grupptrycket</t>
  </si>
  <si>
    <t>Distriktsombudsmöte</t>
  </si>
  <si>
    <t>Utbildning distriktsombud</t>
  </si>
  <si>
    <t>Pressklipp</t>
  </si>
  <si>
    <t>Internationellt möte</t>
  </si>
  <si>
    <t>Tidningar, böcker</t>
  </si>
  <si>
    <t>MR-info</t>
  </si>
  <si>
    <t>Registerhantering</t>
  </si>
  <si>
    <t>Teamsamordnarersättning</t>
  </si>
  <si>
    <t>Vikarier</t>
  </si>
  <si>
    <t>Program</t>
  </si>
  <si>
    <t>Flyktingarbete</t>
  </si>
  <si>
    <t>Besök av/hos arbetsgrupper</t>
  </si>
  <si>
    <t>Kampanjutbildning</t>
  </si>
  <si>
    <t>Avisering</t>
  </si>
  <si>
    <t>Återvärvning</t>
  </si>
  <si>
    <t>Chairs Forum</t>
  </si>
  <si>
    <t>Produktion &amp; distribution</t>
  </si>
  <si>
    <t>Mediaarbete</t>
  </si>
  <si>
    <t>Ungdomsträffar</t>
  </si>
  <si>
    <t>Informatörsutbildning</t>
  </si>
  <si>
    <t>Frivilligledarskap</t>
  </si>
  <si>
    <t xml:space="preserve">Utskick </t>
  </si>
  <si>
    <t>Uppdrags- och arbetsgrupper</t>
  </si>
  <si>
    <t>El</t>
  </si>
  <si>
    <t>Gula sidorna</t>
  </si>
  <si>
    <t>Delprogram</t>
  </si>
  <si>
    <t>Budget</t>
  </si>
  <si>
    <t>Utfall</t>
  </si>
  <si>
    <t>Prognos</t>
  </si>
  <si>
    <t>Allmänt</t>
  </si>
  <si>
    <t>Summa</t>
  </si>
  <si>
    <t>Ungdomsrådet</t>
  </si>
  <si>
    <t>Avgift EU Association</t>
  </si>
  <si>
    <t>Möten, seminarier, omkostnader</t>
  </si>
  <si>
    <t>Flyktingombudsmöte</t>
  </si>
  <si>
    <t>Rådgivningsbyrån</t>
  </si>
  <si>
    <t>Arbetsgrupper</t>
  </si>
  <si>
    <t>Distrikt</t>
  </si>
  <si>
    <t>Samordningsgrupper</t>
  </si>
  <si>
    <t>Utskick, porto, tryck</t>
  </si>
  <si>
    <t>Specialgrupper</t>
  </si>
  <si>
    <t>Utskick</t>
  </si>
  <si>
    <t>Blixtaktioner</t>
  </si>
  <si>
    <t>Distribution</t>
  </si>
  <si>
    <t>Intersektionella möten</t>
  </si>
  <si>
    <t>Directors meeting</t>
  </si>
  <si>
    <t>Kortkampanjen</t>
  </si>
  <si>
    <t>Porto</t>
  </si>
  <si>
    <t>Insamlingsarbete</t>
  </si>
  <si>
    <t>Bank- o postgirokostnader</t>
  </si>
  <si>
    <t>Avgift SFI o FRII</t>
  </si>
  <si>
    <t>Internetbetalningar</t>
  </si>
  <si>
    <t>Personnummersättning</t>
  </si>
  <si>
    <t>Försäljning</t>
  </si>
  <si>
    <t>Personalutbildning</t>
  </si>
  <si>
    <t>Oförutsedda utgifter</t>
  </si>
  <si>
    <t>Årsmötet</t>
  </si>
  <si>
    <t>Planeringsmöte</t>
  </si>
  <si>
    <t>Årsmöteshandlingar</t>
  </si>
  <si>
    <t>Granskningskommittén</t>
  </si>
  <si>
    <t>Styrelsen</t>
  </si>
  <si>
    <t>Möten</t>
  </si>
  <si>
    <t>Valberedningen</t>
  </si>
  <si>
    <t>Budgetmötet</t>
  </si>
  <si>
    <t>Internationella sekretariatet</t>
  </si>
  <si>
    <t>Sekretariatet</t>
  </si>
  <si>
    <t>Hyra</t>
  </si>
  <si>
    <t>Reparation och underhåll av lokaler</t>
  </si>
  <si>
    <t>Service och underhåll kontorsmaskiner</t>
  </si>
  <si>
    <t>Försäkringar</t>
  </si>
  <si>
    <t>Städning</t>
  </si>
  <si>
    <t>Kontorsmaterial</t>
  </si>
  <si>
    <t>Telefon</t>
  </si>
  <si>
    <t>Transporter</t>
  </si>
  <si>
    <t>Främmande tjänster</t>
  </si>
  <si>
    <t>Bankkostnader</t>
  </si>
  <si>
    <t>Avskrivningar</t>
  </si>
  <si>
    <t>Säkerhet</t>
  </si>
  <si>
    <t>Tryckeri</t>
  </si>
  <si>
    <t>Papper</t>
  </si>
  <si>
    <t>Service och underhåll</t>
  </si>
  <si>
    <t>Resor</t>
  </si>
  <si>
    <t>Fasta tjänster</t>
  </si>
  <si>
    <t>Ersättning frivilliga</t>
  </si>
  <si>
    <t>Informationsdagar, frivilliga</t>
  </si>
  <si>
    <t>Rekrytering</t>
  </si>
  <si>
    <t>Samordnarutbildning</t>
  </si>
  <si>
    <t>Uppgradering autogiro</t>
  </si>
  <si>
    <t>ECRE avgift</t>
  </si>
  <si>
    <t>Besök av/hos distrikten</t>
  </si>
  <si>
    <t>Tidskrifter och Interpress service</t>
  </si>
  <si>
    <t>Rekryteringsutbildning</t>
  </si>
  <si>
    <t>Fundraisingutbildning</t>
  </si>
  <si>
    <t>Utbildning för gruppmedlemmar</t>
  </si>
  <si>
    <t>Utbildning i flyktingfrågor</t>
  </si>
  <si>
    <t>Tackbrev till autogiromedlemmar</t>
  </si>
  <si>
    <t>Marknadsföring, avisering &amp; påminnelser</t>
  </si>
  <si>
    <t>Årsrapporten</t>
  </si>
  <si>
    <t>Fundraising i samband m kampanj</t>
  </si>
  <si>
    <t>Månadsgåvan</t>
  </si>
  <si>
    <t>Nyrekrytering givare</t>
  </si>
  <si>
    <t>Insamlingsdagarna</t>
  </si>
  <si>
    <t>Långfredagskollekt</t>
  </si>
  <si>
    <t>Frivilligvård</t>
  </si>
  <si>
    <t>Resor/uppehälle gäster &amp; funktionä</t>
  </si>
  <si>
    <t>Avgift Ideell Arena</t>
  </si>
  <si>
    <t>Utbildning</t>
  </si>
  <si>
    <t>Att betala</t>
  </si>
  <si>
    <t>Referenslitteratur &amp; tidningar</t>
  </si>
  <si>
    <t>AmnestyGuard</t>
  </si>
  <si>
    <t>IT</t>
  </si>
  <si>
    <t>Kampanjer</t>
  </si>
  <si>
    <t>Material från IS</t>
  </si>
  <si>
    <t>Övrigt</t>
  </si>
  <si>
    <t>Materialproduktion</t>
  </si>
  <si>
    <t>Årsmöte EU-föreningen</t>
  </si>
  <si>
    <t>Internationella möten</t>
  </si>
  <si>
    <t>Stöd distriktscenter Gbg</t>
  </si>
  <si>
    <t>Övriga utgifter distr Gbg</t>
  </si>
  <si>
    <t>Hyra &amp; kontorskostn. Skåne/Blekinge</t>
  </si>
  <si>
    <t>Gruppstöd distr Skåne/Blekinge</t>
  </si>
  <si>
    <t>Övriga utgifter distr Skåne/Blekinge</t>
  </si>
  <si>
    <t>Gruppstöd distr Gbg</t>
  </si>
  <si>
    <t>Service specialgrupper</t>
  </si>
  <si>
    <t>MR-utbildning</t>
  </si>
  <si>
    <t>Utbildarnätet</t>
  </si>
  <si>
    <t>Utbilningar distr Gbg</t>
  </si>
  <si>
    <t>Utbildningar distr Skåne/Blekinge</t>
  </si>
  <si>
    <t>Påminnelser DM</t>
  </si>
  <si>
    <t>Påminnelser TM</t>
  </si>
  <si>
    <t>Föravisering TM</t>
  </si>
  <si>
    <t>Värva till 1000</t>
  </si>
  <si>
    <t xml:space="preserve">Medlemsvärvning </t>
  </si>
  <si>
    <t>Adresspoint</t>
  </si>
  <si>
    <t>Amnestysupporter</t>
  </si>
  <si>
    <t xml:space="preserve">Humanfonden </t>
  </si>
  <si>
    <t>Porto direktsvar</t>
  </si>
  <si>
    <t xml:space="preserve">Företagssamarbete </t>
  </si>
  <si>
    <t>Marknadsundersökningar</t>
  </si>
  <si>
    <t xml:space="preserve">Seminarier &amp; utbildning </t>
  </si>
  <si>
    <t>Testamenten</t>
  </si>
  <si>
    <t>Face2Face inhouse</t>
  </si>
  <si>
    <t>Övriga omkostnader</t>
  </si>
  <si>
    <t>Adressuppdatering</t>
  </si>
  <si>
    <t>Besök andra sektioners årsmöten</t>
  </si>
  <si>
    <t>Trivselkostnader personal &amp; frivilliga</t>
  </si>
  <si>
    <t>Verksamhetsutveckling</t>
  </si>
  <si>
    <t>Events &amp; seminarier</t>
  </si>
  <si>
    <t>Gymnasieskolor</t>
  </si>
  <si>
    <t>Lön och arvoden</t>
  </si>
  <si>
    <t>juni</t>
  </si>
  <si>
    <t/>
  </si>
  <si>
    <t>Fast</t>
  </si>
  <si>
    <t>Disp</t>
  </si>
  <si>
    <t>dec</t>
  </si>
  <si>
    <t>sept</t>
  </si>
  <si>
    <t>Kampanjer &amp; aktioner</t>
  </si>
  <si>
    <t>Events och seminarier</t>
  </si>
  <si>
    <t>Resor personal inrikes</t>
  </si>
  <si>
    <t>Information &amp; kommunikation</t>
  </si>
  <si>
    <t>Lobbyverksamhet (inkl EU-för)</t>
  </si>
  <si>
    <t>EU-föreningens lobbymöten</t>
  </si>
  <si>
    <t>Internationellt möte för IGO coordinators</t>
  </si>
  <si>
    <t>Nätverkssamarbeten</t>
  </si>
  <si>
    <t>Riksdagsgruppen</t>
  </si>
  <si>
    <t>Sektionskampanj</t>
  </si>
  <si>
    <t>Seminarier</t>
  </si>
  <si>
    <t>Inköp av rapporter</t>
  </si>
  <si>
    <t>MR-info Göteborg</t>
  </si>
  <si>
    <t>MR-info Skåne-Blekinge</t>
  </si>
  <si>
    <t>Nr 1-4</t>
  </si>
  <si>
    <t>Amnesty Press</t>
  </si>
  <si>
    <t>AP utökat sidantal</t>
  </si>
  <si>
    <t>Marknadsföring &amp; infomaterial</t>
  </si>
  <si>
    <t>Utställningsmaterial</t>
  </si>
  <si>
    <t>Basmaterial</t>
  </si>
  <si>
    <t>Rätt ska va rätt</t>
  </si>
  <si>
    <t>Sneställt</t>
  </si>
  <si>
    <t>Högskolor &amp; universitet</t>
  </si>
  <si>
    <t>Metodutveckling</t>
  </si>
  <si>
    <t>Information och dokumentation</t>
  </si>
  <si>
    <t>Stöd till aktivism</t>
  </si>
  <si>
    <t>Utåtriktade aktiviteter</t>
  </si>
  <si>
    <t>Teamdagar Skåne/Blekinge</t>
  </si>
  <si>
    <t>Teamdagar Göteborg</t>
  </si>
  <si>
    <t>Landprogram- intersek möten i utl</t>
  </si>
  <si>
    <t>Landprogam- utåtr aktiviteter</t>
  </si>
  <si>
    <t>Landprogram-service</t>
  </si>
  <si>
    <t>Service övr samordnare</t>
  </si>
  <si>
    <t>Aktivistseminarium</t>
  </si>
  <si>
    <t>Amnestyakademin</t>
  </si>
  <si>
    <t>Frivilligledarskapsprogrammet</t>
  </si>
  <si>
    <t>Utbildningsmaterial</t>
  </si>
  <si>
    <t>Medlemmar och organisation</t>
  </si>
  <si>
    <t>Omkostnader</t>
  </si>
  <si>
    <t>Resor &amp; diverse</t>
  </si>
  <si>
    <t>Allmänna reskostnader</t>
  </si>
  <si>
    <t>Medlemsvärvning &amp; avisering</t>
  </si>
  <si>
    <t>Minnesgåvor</t>
  </si>
  <si>
    <t>Stora gåvor</t>
  </si>
  <si>
    <t xml:space="preserve">Insamlingsbrev </t>
  </si>
  <si>
    <t xml:space="preserve">Fundraising internet/nya kanaler </t>
  </si>
  <si>
    <t>Gemensamma kostnader</t>
  </si>
  <si>
    <t>Revision</t>
  </si>
  <si>
    <t>Planeringsdag</t>
  </si>
  <si>
    <t>Teamplanering</t>
  </si>
  <si>
    <t>Personal</t>
  </si>
  <si>
    <t>Resor utlokaliserade tjänster</t>
  </si>
  <si>
    <t>Praktikanter &amp; frivilliga</t>
  </si>
  <si>
    <t>Internationella rörelsen</t>
  </si>
  <si>
    <t>Reservupplösning</t>
  </si>
  <si>
    <t>Reservavsättning</t>
  </si>
  <si>
    <t>Nordisk ungdomsträff</t>
  </si>
  <si>
    <t>Utfall i %</t>
  </si>
  <si>
    <t>DIREKTA PROGRAMKOSTNADER</t>
  </si>
  <si>
    <t>1. Kampanjer</t>
  </si>
  <si>
    <t>Flyktingarbete (inkl RGB)</t>
  </si>
  <si>
    <t>2. Information och kommunikation</t>
  </si>
  <si>
    <t>Lobbyverksamhet (inkl EU-för.)</t>
  </si>
  <si>
    <t>3. Stöd till aktivism</t>
  </si>
  <si>
    <t>4. Medlemmar och organisation</t>
  </si>
  <si>
    <t xml:space="preserve">Årsmötet/MR-konferens </t>
  </si>
  <si>
    <t xml:space="preserve">Budgetmötet </t>
  </si>
  <si>
    <t xml:space="preserve">ICM/Internationella möten </t>
  </si>
  <si>
    <t xml:space="preserve">Styrelsen </t>
  </si>
  <si>
    <t xml:space="preserve">Valberedningen </t>
  </si>
  <si>
    <t>Granskningskommittéen</t>
  </si>
  <si>
    <t xml:space="preserve">Resor o diverse </t>
  </si>
  <si>
    <t>5. Insamlingsarbete</t>
  </si>
  <si>
    <t>Insamling</t>
  </si>
  <si>
    <t xml:space="preserve">Amnestyfondens andel </t>
  </si>
  <si>
    <t>SUMMA PROGRAMKOSTNADER</t>
  </si>
  <si>
    <t>6. Gemensamma kostnader</t>
  </si>
  <si>
    <t>SUMMA SEKTIONSKOSTNADER</t>
  </si>
  <si>
    <t>7. Internationella rörelsen</t>
  </si>
  <si>
    <t>SUMMA BIDRAG TILL INT. RÖRELSEN</t>
  </si>
  <si>
    <t>TOTALT</t>
  </si>
  <si>
    <t>SAMMANFATTNING</t>
  </si>
  <si>
    <t>Programkostnader</t>
  </si>
  <si>
    <t>Sekretariatskostnader</t>
  </si>
  <si>
    <t>Personalkostnader</t>
  </si>
  <si>
    <t>Sektionskostnader</t>
  </si>
  <si>
    <t>Bidrag till Internationella rörelsen</t>
  </si>
  <si>
    <t>Amnestyfondens andel av insamlingskostnaderna</t>
  </si>
  <si>
    <t>Amnestyfondens andel</t>
  </si>
  <si>
    <t>Bilaga 3</t>
  </si>
  <si>
    <t>Ekonomisk verksamhetsplan för 2006</t>
  </si>
  <si>
    <t>Underlag för budgetram 2006</t>
  </si>
  <si>
    <t>INTÄKTER</t>
  </si>
  <si>
    <t xml:space="preserve">U05 i förh </t>
  </si>
  <si>
    <t>jan-apr</t>
  </si>
  <si>
    <t>budget</t>
  </si>
  <si>
    <t>av budget</t>
  </si>
  <si>
    <t>till U04</t>
  </si>
  <si>
    <t>Avgifter</t>
  </si>
  <si>
    <t>Helbetalande medl.</t>
  </si>
  <si>
    <t>Delbetalande medl.</t>
  </si>
  <si>
    <t>Medl via autogiro</t>
  </si>
  <si>
    <t>Gruppavgifter</t>
  </si>
  <si>
    <t>Summa avgifter</t>
  </si>
  <si>
    <t xml:space="preserve">Försäljning </t>
  </si>
  <si>
    <t>Rapporter o dyl</t>
  </si>
  <si>
    <t>Annonser</t>
  </si>
  <si>
    <t>Övrig försäljning</t>
  </si>
  <si>
    <t>Summa försäljning</t>
  </si>
  <si>
    <t>Prenumerationer</t>
  </si>
  <si>
    <t>Summa prenumerationer</t>
  </si>
  <si>
    <t>Gåvor &amp; bidrag</t>
  </si>
  <si>
    <t>Grupper &amp; distrikt</t>
  </si>
  <si>
    <t>Gåvor från organisationer</t>
  </si>
  <si>
    <t>Allmänna arvsfonden</t>
  </si>
  <si>
    <t>Företagssamarbete</t>
  </si>
  <si>
    <t>Företagsgåvor</t>
  </si>
  <si>
    <t>Insamlingsbrev</t>
  </si>
  <si>
    <t>Gåvor via autogiro</t>
  </si>
  <si>
    <t>Övriga insamlingsaktiv.</t>
  </si>
  <si>
    <t>Humanfonden (se nedan)</t>
  </si>
  <si>
    <t>Hjälpfonden (se nedan)</t>
  </si>
  <si>
    <t>Spontana gåvor (privat)</t>
  </si>
  <si>
    <t>Amnestyfonden andel</t>
  </si>
  <si>
    <t>Summa gåvor och bidrag</t>
  </si>
  <si>
    <t>Räntor</t>
  </si>
  <si>
    <t>Övriga</t>
  </si>
  <si>
    <t>Summa övrigt</t>
  </si>
  <si>
    <t>SUMMA INTÄKTER</t>
  </si>
  <si>
    <t>Bilaga 1</t>
  </si>
  <si>
    <t>Amnesty</t>
  </si>
  <si>
    <t>Budget 2005</t>
  </si>
  <si>
    <t xml:space="preserve">INTÄKTER </t>
  </si>
  <si>
    <t>Medlemsavgifter</t>
  </si>
  <si>
    <t xml:space="preserve">KOSTNADER </t>
  </si>
  <si>
    <t>Programverksamhet</t>
  </si>
  <si>
    <t xml:space="preserve">Sekretariatskost </t>
  </si>
  <si>
    <t xml:space="preserve">IS-avgift </t>
  </si>
  <si>
    <t>SUMMA KOSTNADER</t>
  </si>
  <si>
    <t>RESULTAT</t>
  </si>
  <si>
    <t>Upplösning av Humanfondsreserv</t>
  </si>
  <si>
    <t>Res. e avs H-fondsreserv</t>
  </si>
  <si>
    <t>Bilaga 2</t>
  </si>
  <si>
    <t>Bilaga 4</t>
  </si>
  <si>
    <t>Budget 2006   (i tkr)</t>
  </si>
  <si>
    <t>Budget 2006</t>
  </si>
  <si>
    <t>Prognos 2005</t>
  </si>
  <si>
    <t>Mäta aktivismen</t>
  </si>
  <si>
    <t>tkr</t>
  </si>
  <si>
    <t>Årsmöteskostnad personal</t>
  </si>
  <si>
    <t>MR-konferens</t>
  </si>
  <si>
    <t>Kortkampanjen med färgbilder</t>
  </si>
  <si>
    <t>Programbudget 2006 -  tkr</t>
  </si>
  <si>
    <t>Bilaga 5</t>
  </si>
  <si>
    <t>Projekttjänst aktivism</t>
  </si>
  <si>
    <t>Internkommunikation</t>
  </si>
  <si>
    <t>(i tkr)</t>
  </si>
  <si>
    <t>Direkta</t>
  </si>
  <si>
    <t>Fördelade</t>
  </si>
  <si>
    <t>programkostnader</t>
  </si>
  <si>
    <t>kostnader</t>
  </si>
  <si>
    <t xml:space="preserve">kostnader </t>
  </si>
  <si>
    <t xml:space="preserve">Budget </t>
  </si>
  <si>
    <t>+/-</t>
  </si>
  <si>
    <t>DL</t>
  </si>
  <si>
    <t>Adm</t>
  </si>
  <si>
    <t xml:space="preserve">Blixtaktioner </t>
  </si>
  <si>
    <t xml:space="preserve">Flyktingarbete (ink bidrag RGB) </t>
  </si>
  <si>
    <t xml:space="preserve">Lobbyverksamhet (inkl EU-för) </t>
  </si>
  <si>
    <t xml:space="preserve">Mediaarbete </t>
  </si>
  <si>
    <t xml:space="preserve">Marknadsföring &amp; Info-mtrl </t>
  </si>
  <si>
    <t xml:space="preserve">Arbetsgrupper </t>
  </si>
  <si>
    <t xml:space="preserve">Distrikt </t>
  </si>
  <si>
    <t xml:space="preserve">Samordningsgrupper </t>
  </si>
  <si>
    <t>Regional verksamhet</t>
  </si>
  <si>
    <t xml:space="preserve">Årsmötet </t>
  </si>
  <si>
    <t xml:space="preserve">Intersektionella möten </t>
  </si>
  <si>
    <t xml:space="preserve">ICM/intern möten </t>
  </si>
  <si>
    <t>Medlemsvärdering &amp; avisering</t>
  </si>
  <si>
    <t xml:space="preserve">Registerhantering </t>
  </si>
  <si>
    <t>SUMMA PROGRAMKOSTN.</t>
  </si>
  <si>
    <t xml:space="preserve">Personal </t>
  </si>
  <si>
    <t>Ej fördelat</t>
  </si>
  <si>
    <t>Summa adm</t>
  </si>
  <si>
    <t>Total</t>
  </si>
  <si>
    <t>SUMMA SEKTIONSKOSTN.</t>
  </si>
  <si>
    <t>8. Internationella rörelsen</t>
  </si>
  <si>
    <t xml:space="preserve">Internationella sekretariatet </t>
  </si>
  <si>
    <t>TOTALA KOSTNADER</t>
  </si>
  <si>
    <t xml:space="preserve">+/- </t>
  </si>
  <si>
    <t>+/-%</t>
  </si>
  <si>
    <t>Direkta programkostnader</t>
  </si>
  <si>
    <t>Direkta programlönekostnader</t>
  </si>
  <si>
    <t>Summa direkta programkostnader</t>
  </si>
  <si>
    <t>Administration</t>
  </si>
  <si>
    <t>Summa sektionskostnader</t>
  </si>
  <si>
    <t>Summa kostnader</t>
  </si>
  <si>
    <t>Budget 2006 med fördelade programkostnader</t>
  </si>
  <si>
    <t>Bilaga 7</t>
  </si>
  <si>
    <t>budget 2006</t>
  </si>
  <si>
    <t>Övr adm</t>
  </si>
  <si>
    <t>Infoteamets teamkassa</t>
  </si>
  <si>
    <t xml:space="preserve">utlokaliserade anställda", </t>
  </si>
  <si>
    <t>Intern kommunikation</t>
  </si>
  <si>
    <t>Mediastrategi</t>
  </si>
  <si>
    <t>Lönerevision</t>
  </si>
  <si>
    <t>Total budget</t>
  </si>
  <si>
    <t>Utökad verksamhet 2006</t>
  </si>
  <si>
    <t>Reserv</t>
  </si>
  <si>
    <t>Överreserv</t>
  </si>
  <si>
    <t>Önskvärd tot res</t>
  </si>
  <si>
    <t>Underreserv/överreserv</t>
  </si>
  <si>
    <t>Budgetbaserad reserv</t>
  </si>
  <si>
    <t>Humanfondsreserv</t>
  </si>
  <si>
    <t>Summa eget kapital</t>
  </si>
  <si>
    <t>Önskvärd budgetbaserad reserv</t>
  </si>
  <si>
    <t>*</t>
  </si>
  <si>
    <t>Reproduktiva rättigheter/abortfrågan</t>
  </si>
  <si>
    <t>Frivilligledarskapsutbildning</t>
  </si>
  <si>
    <t>Kostnad</t>
  </si>
  <si>
    <t>Sänkningar</t>
  </si>
  <si>
    <t>Förklaring</t>
  </si>
  <si>
    <t>Intäkter</t>
  </si>
  <si>
    <t>Infoteamets omkostnader team- luncher, -resor, -presenter, osv.</t>
  </si>
  <si>
    <t>Felbudgeterat.</t>
  </si>
  <si>
    <t>Det ser ut som vi får tjänsten gratis. Annars får omfördelningar göras.</t>
  </si>
  <si>
    <t>Xtraförslag innebär att insamlingskostnadsbudgeten ökar med 290 tkr,</t>
  </si>
  <si>
    <t>minnes och stora. Fonden står för 9 %.</t>
  </si>
  <si>
    <t>Omfördelningar</t>
  </si>
  <si>
    <t xml:space="preserve">Resor distr tjänster Gbg </t>
  </si>
  <si>
    <t>Resor distr tjänster Malmö</t>
  </si>
  <si>
    <t xml:space="preserve">"Deltagande i sekretariatsgemensam personalutbilding för </t>
  </si>
  <si>
    <t>Fördubblad F2F i Stockholm</t>
  </si>
  <si>
    <t>Inlagda i "vanliga" budgeten</t>
  </si>
  <si>
    <t xml:space="preserve">Resor distr tjänst Gbg </t>
  </si>
  <si>
    <t>Resor distr tjänst Malmö</t>
  </si>
  <si>
    <t>Dec</t>
  </si>
  <si>
    <t>Jun</t>
  </si>
  <si>
    <t>Sep</t>
  </si>
  <si>
    <t>Procentuell fördelning</t>
  </si>
  <si>
    <t>%</t>
  </si>
  <si>
    <t>RAM</t>
  </si>
  <si>
    <t>Återstår för program</t>
  </si>
  <si>
    <t>Kostnadsram oktoberbudgeten</t>
  </si>
  <si>
    <t>Nordiska ungdomsrådet</t>
  </si>
  <si>
    <t>Lön till Ida</t>
  </si>
  <si>
    <t>Extra finansmöte</t>
  </si>
  <si>
    <t>Hinns ej med</t>
  </si>
  <si>
    <t>Pensionskostnader</t>
  </si>
  <si>
    <t>Inget besked</t>
  </si>
  <si>
    <t>58 % x 9 % av de ökade insamlingskostnaderna skall Amnestyfonden stå för.</t>
  </si>
  <si>
    <t>600 tkr avser medlemsavg, 825 tkr ag gåvor</t>
  </si>
  <si>
    <t>IS-avgiften</t>
  </si>
  <si>
    <t>Amnestyfondens andel av intäkterna</t>
  </si>
  <si>
    <t>Aktivistprojektet</t>
  </si>
  <si>
    <t>Lönekostnader IT</t>
  </si>
  <si>
    <t>Att spara för att klara budgetbaserade reserven</t>
  </si>
  <si>
    <t>Övrigt att göra</t>
  </si>
  <si>
    <t>Reserverna, med större personalkostnader krävs en större budgetbaserad reserv.</t>
  </si>
  <si>
    <t>75 % av personalkostnadsökningen</t>
  </si>
  <si>
    <t>SFI-siffrorna</t>
  </si>
  <si>
    <t>Korrigering F2F om inte fördubblingen genomförs</t>
  </si>
  <si>
    <t>Intäkt</t>
  </si>
  <si>
    <t>Mediestrategi</t>
  </si>
  <si>
    <t>Nordisk Ungdomsträff</t>
  </si>
  <si>
    <t>Arbetgrupper</t>
  </si>
  <si>
    <t>Förändringar i budgeten efter oktobermötet</t>
  </si>
  <si>
    <t>Kostnadsbudgeten</t>
  </si>
  <si>
    <t>Intäktsbudgeten</t>
  </si>
  <si>
    <t>Gåvor och bidrag</t>
  </si>
  <si>
    <t>Total ökning av intäktsbudgeten</t>
  </si>
  <si>
    <t>Total ökning av kostnadsbudgeten</t>
  </si>
  <si>
    <t>Total budgetförändring</t>
  </si>
  <si>
    <t>Kostnad F2F</t>
  </si>
  <si>
    <t>Summa intäkter</t>
  </si>
  <si>
    <t>Förtydligande kring kostnadsbudgeteten</t>
  </si>
  <si>
    <t>Förtydligande kring intäktssbudgeteten</t>
  </si>
  <si>
    <t>okt</t>
  </si>
  <si>
    <t>xtra okt</t>
  </si>
  <si>
    <t>efter okt</t>
  </si>
  <si>
    <t>Ny total</t>
  </si>
  <si>
    <t>Småjusteringar</t>
  </si>
  <si>
    <t>Intäktsbudget från oktobermötet</t>
  </si>
  <si>
    <t>Tillkommande intäkter, bilaga 5</t>
  </si>
  <si>
    <t>Tillkommande kostnader, bilaga 5</t>
  </si>
  <si>
    <t>Sparbeting</t>
  </si>
  <si>
    <t>Gåvor via autogiro F2F</t>
  </si>
  <si>
    <t>Medl via autogiro F2F</t>
  </si>
</sst>
</file>

<file path=xl/styles.xml><?xml version="1.0" encoding="utf-8"?>
<styleSheet xmlns="http://schemas.openxmlformats.org/spreadsheetml/2006/main">
  <numFmts count="6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\-#,##0&quot; kr&quot;"/>
    <numFmt numFmtId="165" formatCode="#,##0&quot; kr&quot;;[Red]\-#,##0&quot; kr&quot;"/>
    <numFmt numFmtId="166" formatCode="#,##0.00&quot; kr&quot;;\-#,##0.00&quot; kr&quot;"/>
    <numFmt numFmtId="167" formatCode="#,##0.00&quot; kr&quot;;[Red]\-#,##0.00&quot; kr&quot;"/>
    <numFmt numFmtId="168" formatCode="_-* #,##0&quot; kr&quot;_-;\-* #,##0&quot; kr&quot;_-;_-* &quot;-&quot;&quot; kr&quot;_-;_-@_-"/>
    <numFmt numFmtId="169" formatCode="_-* #,##0_ _k_r_-;\-* #,##0_ _k_r_-;_-* &quot;-&quot;_ _k_r_-;_-@_-"/>
    <numFmt numFmtId="170" formatCode="_-* #,##0.00&quot; kr&quot;_-;\-* #,##0.00&quot; kr&quot;_-;_-* &quot;-&quot;??&quot; kr&quot;_-;_-@_-"/>
    <numFmt numFmtId="171" formatCode="_-* #,##0.00_ _k_r_-;\-* #,##0.00_ _k_r_-;_-* &quot;-&quot;??_ _k_r_-;_-@_-"/>
    <numFmt numFmtId="172" formatCode="yy/m/d"/>
    <numFmt numFmtId="173" formatCode="d/mmm/yy"/>
    <numFmt numFmtId="174" formatCode="d/mmm"/>
    <numFmt numFmtId="175" formatCode="h\.mm\ AM/PM"/>
    <numFmt numFmtId="176" formatCode="h\.mm\.ss\ AM/PM"/>
    <numFmt numFmtId="177" formatCode="h\.mm"/>
    <numFmt numFmtId="178" formatCode="h\.mm\.ss"/>
    <numFmt numFmtId="179" formatCode="yy/m/d\ h\.mm"/>
    <numFmt numFmtId="180" formatCode="0.0"/>
    <numFmt numFmtId="181" formatCode="#,##0.0"/>
    <numFmt numFmtId="182" formatCode="#,##0.000"/>
    <numFmt numFmtId="183" formatCode="#,##0.0000"/>
    <numFmt numFmtId="184" formatCode="0.000000"/>
    <numFmt numFmtId="185" formatCode="0.00000"/>
    <numFmt numFmtId="186" formatCode="0.0000"/>
    <numFmt numFmtId="187" formatCode="0.000"/>
    <numFmt numFmtId="188" formatCode="0.00000000"/>
    <numFmt numFmtId="189" formatCode="0.0000000"/>
    <numFmt numFmtId="190" formatCode="0.0%"/>
    <numFmt numFmtId="191" formatCode="#,##0.00000"/>
    <numFmt numFmtId="192" formatCode="#,##0.000000"/>
    <numFmt numFmtId="193" formatCode="_-* #,##0.0\ _k_r_-;\-* #,##0.0\ _k_r_-;_-* &quot;-&quot;??\ _k_r_-;_-@_-"/>
    <numFmt numFmtId="194" formatCode="#,##0,"/>
    <numFmt numFmtId="195" formatCode="#,##0.0;[Red]&quot;-&quot;#,##0.0"/>
    <numFmt numFmtId="196" formatCode="#,##0.000;[Red]&quot;-&quot;#,##0.000"/>
    <numFmt numFmtId="197" formatCode="#,##0.0000;[Red]&quot;-&quot;#,##0.0000"/>
    <numFmt numFmtId="198" formatCode="#,##0.00000;[Red]&quot;-&quot;#,##0.00000"/>
    <numFmt numFmtId="199" formatCode="#,##0.000000;[Red]&quot;-&quot;#,##0.000000"/>
    <numFmt numFmtId="200" formatCode="#,##0.0_ _k_r;[Red]\-#,##0.0_ _k_r"/>
    <numFmt numFmtId="201" formatCode="#,##0.000_ _k_r;[Red]\-#,##0.000_ _k_r"/>
    <numFmt numFmtId="202" formatCode="#,##0.0000_ _k_r;[Red]\-#,##0.0000_ _k_r"/>
    <numFmt numFmtId="203" formatCode="\§"/>
    <numFmt numFmtId="204" formatCode="0.0_%"/>
    <numFmt numFmtId="205" formatCode="0.0,%"/>
    <numFmt numFmtId="206" formatCode="0.00,%"/>
    <numFmt numFmtId="207" formatCode="0.000,%"/>
    <numFmt numFmtId="208" formatCode="0,%"/>
    <numFmt numFmtId="209" formatCode="0.0\'%"/>
    <numFmt numFmtId="210" formatCode="00.0"/>
    <numFmt numFmtId="211" formatCode="_-* #,##0.0\ &quot;kr&quot;_-;\-* #,##0.0\ &quot;kr&quot;_-;_-* &quot;-&quot;??\ &quot;kr&quot;_-;_-@_-"/>
    <numFmt numFmtId="212" formatCode="_-* #,##0\ &quot;kr&quot;_-;\-* #,##0\ &quot;kr&quot;_-;_-* &quot;-&quot;??\ &quot;kr&quot;_-;_-@_-"/>
    <numFmt numFmtId="213" formatCode="_-* #,##0\ _k_r_-;\-* #,##0\ _k_r_-;_-* &quot;-&quot;??\ _k_r_-;_-@_-"/>
    <numFmt numFmtId="214" formatCode="#,##0.0&quot; kr&quot;;[Red]\-#,##0.0&quot; kr&quot;"/>
    <numFmt numFmtId="215" formatCode="yyyy/mm/dd\ "/>
    <numFmt numFmtId="216" formatCode="mmm/yyyy"/>
    <numFmt numFmtId="217" formatCode="mmmm\ yyyy"/>
    <numFmt numFmtId="218" formatCode="&quot;Ja&quot;;&quot;Ja&quot;;&quot;Nej&quot;"/>
    <numFmt numFmtId="219" formatCode="&quot;Sant&quot;;&quot;Sant&quot;;&quot;Falskt&quot;"/>
    <numFmt numFmtId="220" formatCode="&quot;På&quot;;&quot;På&quot;;&quot;Av&quot;"/>
  </numFmts>
  <fonts count="49">
    <font>
      <sz val="10"/>
      <name val="Arial"/>
      <family val="0"/>
    </font>
    <font>
      <sz val="10"/>
      <name val="Geneva"/>
      <family val="0"/>
    </font>
    <font>
      <sz val="10"/>
      <name val="Tms Rmn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8"/>
      <name val="Tahoma"/>
      <family val="0"/>
    </font>
    <font>
      <sz val="9"/>
      <color indexed="10"/>
      <name val="Verdana"/>
      <family val="2"/>
    </font>
    <font>
      <u val="single"/>
      <sz val="10"/>
      <color indexed="36"/>
      <name val="Tms Rmn"/>
      <family val="0"/>
    </font>
    <font>
      <u val="single"/>
      <sz val="10"/>
      <color indexed="12"/>
      <name val="Tms Rmn"/>
      <family val="0"/>
    </font>
    <font>
      <sz val="10"/>
      <name val="Times New Roman"/>
      <family val="0"/>
    </font>
    <font>
      <b/>
      <i/>
      <sz val="10"/>
      <name val="Times New Roman"/>
      <family val="1"/>
    </font>
    <font>
      <b/>
      <i/>
      <sz val="11"/>
      <name val="Verdana"/>
      <family val="2"/>
    </font>
    <font>
      <b/>
      <sz val="8"/>
      <name val="Verdana"/>
      <family val="2"/>
    </font>
    <font>
      <sz val="9"/>
      <name val="Times New Roman"/>
      <family val="0"/>
    </font>
    <font>
      <b/>
      <sz val="10"/>
      <name val="Times New Roman"/>
      <family val="0"/>
    </font>
    <font>
      <sz val="10"/>
      <color indexed="10"/>
      <name val="Times New Roman"/>
      <family val="0"/>
    </font>
    <font>
      <sz val="8"/>
      <name val="Tahoma"/>
      <family val="0"/>
    </font>
    <font>
      <b/>
      <i/>
      <sz val="12"/>
      <name val="Verdana"/>
      <family val="2"/>
    </font>
    <font>
      <b/>
      <sz val="15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i/>
      <sz val="9"/>
      <color indexed="10"/>
      <name val="Verdana"/>
      <family val="2"/>
    </font>
    <font>
      <sz val="10"/>
      <color indexed="10"/>
      <name val="Verdana"/>
      <family val="2"/>
    </font>
    <font>
      <sz val="8"/>
      <name val="Verdana"/>
      <family val="2"/>
    </font>
    <font>
      <b/>
      <sz val="14"/>
      <color indexed="8"/>
      <name val="Tms Rmn"/>
      <family val="0"/>
    </font>
    <font>
      <sz val="10"/>
      <name val="Tahoma"/>
      <family val="0"/>
    </font>
    <font>
      <b/>
      <sz val="10"/>
      <name val="Tahoma"/>
      <family val="0"/>
    </font>
    <font>
      <sz val="22"/>
      <name val="Verdana"/>
      <family val="2"/>
    </font>
    <font>
      <b/>
      <i/>
      <sz val="10"/>
      <name val="Verdana"/>
      <family val="2"/>
    </font>
    <font>
      <i/>
      <sz val="10"/>
      <color indexed="10"/>
      <name val="Verdana"/>
      <family val="2"/>
    </font>
    <font>
      <b/>
      <sz val="10.75"/>
      <name val="Arial"/>
      <family val="0"/>
    </font>
    <font>
      <sz val="9"/>
      <name val="Arial"/>
      <family val="0"/>
    </font>
    <font>
      <b/>
      <sz val="16.25"/>
      <name val="Arial"/>
      <family val="0"/>
    </font>
    <font>
      <sz val="12"/>
      <name val="Arial"/>
      <family val="0"/>
    </font>
    <font>
      <sz val="14"/>
      <name val="Verdana"/>
      <family val="2"/>
    </font>
    <font>
      <b/>
      <sz val="11"/>
      <name val="Verdana"/>
      <family val="2"/>
    </font>
    <font>
      <sz val="10"/>
      <color indexed="12"/>
      <name val="Verdana"/>
      <family val="2"/>
    </font>
    <font>
      <sz val="10"/>
      <color indexed="53"/>
      <name val="Verdana"/>
      <family val="2"/>
    </font>
    <font>
      <sz val="10"/>
      <color indexed="48"/>
      <name val="Verdana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3" fontId="3" fillId="0" borderId="0" xfId="25" applyNumberFormat="1" applyFont="1" applyAlignment="1">
      <alignment horizontal="left"/>
      <protection/>
    </xf>
    <xf numFmtId="3" fontId="4" fillId="0" borderId="0" xfId="25" applyNumberFormat="1" applyFont="1">
      <alignment/>
      <protection/>
    </xf>
    <xf numFmtId="3" fontId="4" fillId="0" borderId="0" xfId="25" applyNumberFormat="1" applyFont="1" applyFill="1">
      <alignment/>
      <protection/>
    </xf>
    <xf numFmtId="3" fontId="4" fillId="0" borderId="0" xfId="15" applyNumberFormat="1" applyFont="1" applyAlignment="1">
      <alignment/>
    </xf>
    <xf numFmtId="3" fontId="3" fillId="0" borderId="0" xfId="25" applyNumberFormat="1" applyFont="1" applyAlignment="1">
      <alignment horizontal="center"/>
      <protection/>
    </xf>
    <xf numFmtId="3" fontId="5" fillId="0" borderId="0" xfId="25" applyNumberFormat="1" applyFont="1" applyAlignment="1">
      <alignment horizontal="left"/>
      <protection/>
    </xf>
    <xf numFmtId="3" fontId="4" fillId="0" borderId="0" xfId="25" applyNumberFormat="1" applyFont="1" applyBorder="1" applyAlignment="1">
      <alignment horizontal="left"/>
      <protection/>
    </xf>
    <xf numFmtId="3" fontId="4" fillId="0" borderId="0" xfId="25" applyNumberFormat="1" applyFont="1" applyBorder="1">
      <alignment/>
      <protection/>
    </xf>
    <xf numFmtId="3" fontId="4" fillId="0" borderId="0" xfId="25" applyNumberFormat="1" applyFont="1" applyFill="1" applyBorder="1">
      <alignment/>
      <protection/>
    </xf>
    <xf numFmtId="3" fontId="4" fillId="0" borderId="1" xfId="25" applyNumberFormat="1" applyFont="1" applyBorder="1">
      <alignment/>
      <protection/>
    </xf>
    <xf numFmtId="3" fontId="4" fillId="0" borderId="0" xfId="22" applyNumberFormat="1" applyFont="1" applyFill="1" applyBorder="1">
      <alignment/>
      <protection/>
    </xf>
    <xf numFmtId="3" fontId="7" fillId="0" borderId="0" xfId="22" applyNumberFormat="1" applyFont="1" applyFill="1" applyBorder="1">
      <alignment/>
      <protection/>
    </xf>
    <xf numFmtId="3" fontId="3" fillId="0" borderId="0" xfId="25" applyNumberFormat="1" applyFont="1">
      <alignment/>
      <protection/>
    </xf>
    <xf numFmtId="3" fontId="4" fillId="0" borderId="0" xfId="15" applyNumberFormat="1" applyFont="1" applyFill="1" applyBorder="1" applyAlignment="1">
      <alignment/>
    </xf>
    <xf numFmtId="3" fontId="4" fillId="0" borderId="0" xfId="22" applyNumberFormat="1" applyFont="1" applyBorder="1">
      <alignment/>
      <protection/>
    </xf>
    <xf numFmtId="0" fontId="4" fillId="0" borderId="0" xfId="25" applyFont="1">
      <alignment/>
      <protection/>
    </xf>
    <xf numFmtId="0" fontId="4" fillId="0" borderId="0" xfId="22" applyFont="1" applyFill="1" applyBorder="1">
      <alignment/>
      <protection/>
    </xf>
    <xf numFmtId="0" fontId="4" fillId="0" borderId="0" xfId="25" applyFont="1" applyFill="1" applyBorder="1">
      <alignment/>
      <protection/>
    </xf>
    <xf numFmtId="3" fontId="10" fillId="0" borderId="2" xfId="25" applyNumberFormat="1" applyFont="1" applyBorder="1" applyAlignment="1">
      <alignment horizontal="center"/>
      <protection/>
    </xf>
    <xf numFmtId="3" fontId="10" fillId="0" borderId="1" xfId="25" applyNumberFormat="1" applyFont="1" applyBorder="1" applyAlignment="1">
      <alignment horizontal="left"/>
      <protection/>
    </xf>
    <xf numFmtId="3" fontId="11" fillId="0" borderId="0" xfId="25" applyNumberFormat="1" applyFont="1" applyBorder="1">
      <alignment/>
      <protection/>
    </xf>
    <xf numFmtId="3" fontId="11" fillId="0" borderId="1" xfId="25" applyNumberFormat="1" applyFont="1" applyBorder="1">
      <alignment/>
      <protection/>
    </xf>
    <xf numFmtId="3" fontId="11" fillId="0" borderId="0" xfId="22" applyNumberFormat="1" applyFont="1" applyFill="1" applyBorder="1">
      <alignment/>
      <protection/>
    </xf>
    <xf numFmtId="3" fontId="11" fillId="0" borderId="3" xfId="25" applyNumberFormat="1" applyFont="1" applyBorder="1" applyAlignment="1">
      <alignment horizontal="center"/>
      <protection/>
    </xf>
    <xf numFmtId="3" fontId="10" fillId="0" borderId="4" xfId="25" applyNumberFormat="1" applyFont="1" applyBorder="1" applyAlignment="1">
      <alignment horizontal="left"/>
      <protection/>
    </xf>
    <xf numFmtId="3" fontId="10" fillId="0" borderId="5" xfId="25" applyNumberFormat="1" applyFont="1" applyBorder="1">
      <alignment/>
      <protection/>
    </xf>
    <xf numFmtId="3" fontId="10" fillId="0" borderId="6" xfId="25" applyNumberFormat="1" applyFont="1" applyBorder="1" applyAlignment="1">
      <alignment horizontal="center"/>
      <protection/>
    </xf>
    <xf numFmtId="3" fontId="11" fillId="0" borderId="0" xfId="25" applyNumberFormat="1" applyFont="1" applyBorder="1" applyAlignment="1">
      <alignment horizontal="right"/>
      <protection/>
    </xf>
    <xf numFmtId="3" fontId="10" fillId="0" borderId="0" xfId="25" applyNumberFormat="1" applyFont="1" applyBorder="1" applyAlignment="1">
      <alignment horizontal="center"/>
      <protection/>
    </xf>
    <xf numFmtId="3" fontId="10" fillId="0" borderId="0" xfId="25" applyNumberFormat="1" applyFont="1" applyBorder="1" applyAlignment="1">
      <alignment horizontal="left"/>
      <protection/>
    </xf>
    <xf numFmtId="3" fontId="10" fillId="0" borderId="0" xfId="25" applyNumberFormat="1" applyFont="1" applyBorder="1">
      <alignment/>
      <protection/>
    </xf>
    <xf numFmtId="3" fontId="10" fillId="0" borderId="0" xfId="25" applyNumberFormat="1" applyFont="1" applyAlignment="1">
      <alignment horizontal="center"/>
      <protection/>
    </xf>
    <xf numFmtId="3" fontId="4" fillId="0" borderId="0" xfId="25" applyNumberFormat="1" applyFont="1" applyFill="1" applyBorder="1" applyAlignment="1">
      <alignment horizontal="center"/>
      <protection/>
    </xf>
    <xf numFmtId="3" fontId="11" fillId="0" borderId="0" xfId="15" applyNumberFormat="1" applyFont="1" applyFill="1" applyBorder="1" applyAlignment="1">
      <alignment horizontal="right"/>
    </xf>
    <xf numFmtId="3" fontId="10" fillId="0" borderId="5" xfId="25" applyNumberFormat="1" applyFont="1" applyFill="1" applyBorder="1" applyAlignment="1">
      <alignment horizontal="right"/>
      <protection/>
    </xf>
    <xf numFmtId="3" fontId="3" fillId="0" borderId="0" xfId="25" applyNumberFormat="1" applyFont="1" applyAlignment="1" quotePrefix="1">
      <alignment horizontal="left"/>
      <protection/>
    </xf>
    <xf numFmtId="3" fontId="13" fillId="0" borderId="0" xfId="25" applyNumberFormat="1" applyFont="1">
      <alignment/>
      <protection/>
    </xf>
    <xf numFmtId="3" fontId="12" fillId="0" borderId="5" xfId="25" applyNumberFormat="1" applyFont="1" applyBorder="1">
      <alignment/>
      <protection/>
    </xf>
    <xf numFmtId="3" fontId="12" fillId="0" borderId="0" xfId="25" applyNumberFormat="1" applyFont="1" applyAlignment="1">
      <alignment horizontal="left"/>
      <protection/>
    </xf>
    <xf numFmtId="1" fontId="10" fillId="0" borderId="3" xfId="25" applyNumberFormat="1" applyFont="1" applyBorder="1" applyAlignment="1">
      <alignment horizontal="center"/>
      <protection/>
    </xf>
    <xf numFmtId="3" fontId="11" fillId="0" borderId="0" xfId="25" applyNumberFormat="1" applyFont="1" applyFill="1" applyBorder="1" applyAlignment="1">
      <alignment horizontal="right"/>
      <protection/>
    </xf>
    <xf numFmtId="3" fontId="12" fillId="0" borderId="7" xfId="25" applyNumberFormat="1" applyFont="1" applyBorder="1">
      <alignment/>
      <protection/>
    </xf>
    <xf numFmtId="3" fontId="12" fillId="0" borderId="0" xfId="25" applyNumberFormat="1" applyFont="1" applyBorder="1">
      <alignment/>
      <protection/>
    </xf>
    <xf numFmtId="3" fontId="13" fillId="0" borderId="0" xfId="25" applyNumberFormat="1" applyFont="1" applyFill="1" applyBorder="1" applyAlignment="1">
      <alignment horizontal="right"/>
      <protection/>
    </xf>
    <xf numFmtId="3" fontId="13" fillId="0" borderId="0" xfId="15" applyNumberFormat="1" applyFont="1" applyBorder="1" applyAlignment="1">
      <alignment horizontal="center"/>
    </xf>
    <xf numFmtId="3" fontId="10" fillId="0" borderId="8" xfId="25" applyNumberFormat="1" applyFont="1" applyBorder="1">
      <alignment/>
      <protection/>
    </xf>
    <xf numFmtId="3" fontId="10" fillId="0" borderId="8" xfId="15" applyNumberFormat="1" applyFont="1" applyFill="1" applyBorder="1" applyAlignment="1">
      <alignment horizontal="right"/>
    </xf>
    <xf numFmtId="3" fontId="12" fillId="0" borderId="0" xfId="25" applyNumberFormat="1" applyFont="1" applyBorder="1" applyAlignment="1">
      <alignment horizontal="center"/>
      <protection/>
    </xf>
    <xf numFmtId="3" fontId="10" fillId="2" borderId="8" xfId="25" applyNumberFormat="1" applyFont="1" applyFill="1" applyBorder="1" applyAlignment="1">
      <alignment horizontal="right"/>
      <protection/>
    </xf>
    <xf numFmtId="3" fontId="11" fillId="2" borderId="0" xfId="25" applyNumberFormat="1" applyFont="1" applyFill="1" applyBorder="1">
      <alignment/>
      <protection/>
    </xf>
    <xf numFmtId="3" fontId="11" fillId="2" borderId="0" xfId="25" applyNumberFormat="1" applyFont="1" applyFill="1" applyBorder="1" applyAlignment="1">
      <alignment horizontal="right"/>
      <protection/>
    </xf>
    <xf numFmtId="3" fontId="10" fillId="2" borderId="5" xfId="25" applyNumberFormat="1" applyFont="1" applyFill="1" applyBorder="1" applyAlignment="1">
      <alignment horizontal="right"/>
      <protection/>
    </xf>
    <xf numFmtId="3" fontId="10" fillId="2" borderId="9" xfId="25" applyNumberFormat="1" applyFont="1" applyFill="1" applyBorder="1" applyAlignment="1">
      <alignment horizontal="right"/>
      <protection/>
    </xf>
    <xf numFmtId="3" fontId="11" fillId="2" borderId="10" xfId="25" applyNumberFormat="1" applyFont="1" applyFill="1" applyBorder="1">
      <alignment/>
      <protection/>
    </xf>
    <xf numFmtId="3" fontId="11" fillId="2" borderId="10" xfId="25" applyNumberFormat="1" applyFont="1" applyFill="1" applyBorder="1" applyAlignment="1">
      <alignment horizontal="right"/>
      <protection/>
    </xf>
    <xf numFmtId="3" fontId="10" fillId="2" borderId="11" xfId="25" applyNumberFormat="1" applyFont="1" applyFill="1" applyBorder="1" applyAlignment="1">
      <alignment horizontal="right"/>
      <protection/>
    </xf>
    <xf numFmtId="3" fontId="13" fillId="3" borderId="0" xfId="25" applyNumberFormat="1" applyFont="1" applyFill="1" applyBorder="1" applyAlignment="1">
      <alignment horizontal="right"/>
      <protection/>
    </xf>
    <xf numFmtId="3" fontId="13" fillId="0" borderId="0" xfId="25" applyNumberFormat="1" applyFont="1" applyFill="1" applyBorder="1">
      <alignment/>
      <protection/>
    </xf>
    <xf numFmtId="3" fontId="13" fillId="3" borderId="0" xfId="25" applyNumberFormat="1" applyFont="1" applyFill="1" applyBorder="1">
      <alignment/>
      <protection/>
    </xf>
    <xf numFmtId="3" fontId="13" fillId="0" borderId="0" xfId="25" applyNumberFormat="1" applyFont="1" applyBorder="1">
      <alignment/>
      <protection/>
    </xf>
    <xf numFmtId="3" fontId="12" fillId="0" borderId="0" xfId="25" applyNumberFormat="1" applyFont="1" applyBorder="1" applyAlignment="1">
      <alignment horizontal="left"/>
      <protection/>
    </xf>
    <xf numFmtId="3" fontId="12" fillId="0" borderId="8" xfId="25" applyNumberFormat="1" applyFont="1" applyBorder="1">
      <alignment/>
      <protection/>
    </xf>
    <xf numFmtId="3" fontId="13" fillId="2" borderId="8" xfId="25" applyNumberFormat="1" applyFont="1" applyFill="1" applyBorder="1" applyAlignment="1">
      <alignment horizontal="right"/>
      <protection/>
    </xf>
    <xf numFmtId="3" fontId="13" fillId="2" borderId="9" xfId="25" applyNumberFormat="1" applyFont="1" applyFill="1" applyBorder="1">
      <alignment/>
      <protection/>
    </xf>
    <xf numFmtId="3" fontId="12" fillId="0" borderId="4" xfId="25" applyNumberFormat="1" applyFont="1" applyBorder="1">
      <alignment/>
      <protection/>
    </xf>
    <xf numFmtId="3" fontId="11" fillId="0" borderId="5" xfId="15" applyNumberFormat="1" applyFont="1" applyFill="1" applyBorder="1" applyAlignment="1">
      <alignment horizontal="right"/>
    </xf>
    <xf numFmtId="3" fontId="13" fillId="2" borderId="5" xfId="25" applyNumberFormat="1" applyFont="1" applyFill="1" applyBorder="1" applyAlignment="1">
      <alignment horizontal="right"/>
      <protection/>
    </xf>
    <xf numFmtId="3" fontId="13" fillId="2" borderId="11" xfId="25" applyNumberFormat="1" applyFont="1" applyFill="1" applyBorder="1">
      <alignment/>
      <protection/>
    </xf>
    <xf numFmtId="0" fontId="4" fillId="0" borderId="0" xfId="0" applyFont="1" applyAlignment="1">
      <alignment/>
    </xf>
    <xf numFmtId="3" fontId="10" fillId="0" borderId="12" xfId="25" applyNumberFormat="1" applyFont="1" applyBorder="1" applyAlignment="1">
      <alignment horizontal="left"/>
      <protection/>
    </xf>
    <xf numFmtId="3" fontId="10" fillId="3" borderId="0" xfId="25" applyNumberFormat="1" applyFont="1" applyFill="1" applyBorder="1" applyAlignment="1">
      <alignment horizontal="right"/>
      <protection/>
    </xf>
    <xf numFmtId="0" fontId="3" fillId="0" borderId="0" xfId="0" applyFont="1" applyAlignment="1">
      <alignment/>
    </xf>
    <xf numFmtId="179" fontId="4" fillId="0" borderId="0" xfId="23" applyNumberFormat="1" applyFont="1" applyAlignment="1">
      <alignment horizontal="left"/>
      <protection/>
    </xf>
    <xf numFmtId="194" fontId="4" fillId="0" borderId="0" xfId="20" applyNumberFormat="1" applyFont="1" applyFill="1" applyBorder="1">
      <alignment/>
      <protection/>
    </xf>
    <xf numFmtId="194" fontId="4" fillId="4" borderId="0" xfId="24" applyNumberFormat="1" applyFont="1" applyFill="1">
      <alignment/>
      <protection/>
    </xf>
    <xf numFmtId="0" fontId="19" fillId="4" borderId="0" xfId="24" applyFont="1" applyFill="1" applyAlignment="1">
      <alignment horizontal="center"/>
      <protection/>
    </xf>
    <xf numFmtId="0" fontId="18" fillId="0" borderId="0" xfId="24">
      <alignment/>
      <protection/>
    </xf>
    <xf numFmtId="0" fontId="6" fillId="0" borderId="0" xfId="20" applyFont="1" applyAlignment="1">
      <alignment horizontal="left"/>
      <protection/>
    </xf>
    <xf numFmtId="194" fontId="4" fillId="0" borderId="0" xfId="24" applyNumberFormat="1" applyFont="1">
      <alignment/>
      <protection/>
    </xf>
    <xf numFmtId="0" fontId="19" fillId="0" borderId="0" xfId="24" applyFont="1" applyAlignment="1">
      <alignment horizontal="center"/>
      <protection/>
    </xf>
    <xf numFmtId="0" fontId="20" fillId="0" borderId="0" xfId="20" applyFont="1" applyAlignment="1">
      <alignment horizontal="left"/>
      <protection/>
    </xf>
    <xf numFmtId="0" fontId="21" fillId="0" borderId="0" xfId="20" applyFont="1" applyAlignment="1">
      <alignment horizontal="left"/>
      <protection/>
    </xf>
    <xf numFmtId="0" fontId="22" fillId="0" borderId="0" xfId="24" applyFont="1">
      <alignment/>
      <protection/>
    </xf>
    <xf numFmtId="194" fontId="10" fillId="5" borderId="2" xfId="20" applyNumberFormat="1" applyFont="1" applyFill="1" applyBorder="1" applyAlignment="1">
      <alignment horizontal="center"/>
      <protection/>
    </xf>
    <xf numFmtId="194" fontId="10" fillId="5" borderId="2" xfId="24" applyNumberFormat="1" applyFont="1" applyFill="1" applyBorder="1" applyAlignment="1">
      <alignment horizontal="center"/>
      <protection/>
    </xf>
    <xf numFmtId="1" fontId="10" fillId="5" borderId="6" xfId="24" applyNumberFormat="1" applyFont="1" applyFill="1" applyBorder="1" applyAlignment="1">
      <alignment horizontal="center"/>
      <protection/>
    </xf>
    <xf numFmtId="0" fontId="10" fillId="0" borderId="0" xfId="20" applyFont="1" applyAlignment="1">
      <alignment horizontal="left"/>
      <protection/>
    </xf>
    <xf numFmtId="1" fontId="10" fillId="0" borderId="3" xfId="24" applyNumberFormat="1" applyFont="1" applyFill="1" applyBorder="1" applyAlignment="1">
      <alignment horizontal="center"/>
      <protection/>
    </xf>
    <xf numFmtId="1" fontId="10" fillId="0" borderId="3" xfId="24" applyNumberFormat="1" applyFont="1" applyBorder="1" applyAlignment="1">
      <alignment horizontal="center"/>
      <protection/>
    </xf>
    <xf numFmtId="194" fontId="11" fillId="0" borderId="3" xfId="24" applyNumberFormat="1" applyFont="1" applyFill="1" applyBorder="1">
      <alignment/>
      <protection/>
    </xf>
    <xf numFmtId="194" fontId="11" fillId="0" borderId="3" xfId="24" applyNumberFormat="1" applyFont="1" applyBorder="1">
      <alignment/>
      <protection/>
    </xf>
    <xf numFmtId="3" fontId="11" fillId="0" borderId="3" xfId="24" applyNumberFormat="1" applyFont="1" applyFill="1" applyBorder="1">
      <alignment/>
      <protection/>
    </xf>
    <xf numFmtId="3" fontId="19" fillId="0" borderId="0" xfId="24" applyNumberFormat="1" applyFont="1" applyAlignment="1">
      <alignment horizontal="center"/>
      <protection/>
    </xf>
    <xf numFmtId="0" fontId="11" fillId="6" borderId="0" xfId="20" applyFont="1" applyFill="1" applyBorder="1" applyAlignment="1">
      <alignment horizontal="left"/>
      <protection/>
    </xf>
    <xf numFmtId="3" fontId="11" fillId="6" borderId="3" xfId="32" applyNumberFormat="1" applyFont="1" applyFill="1" applyBorder="1" applyAlignment="1">
      <alignment horizontal="right"/>
    </xf>
    <xf numFmtId="0" fontId="11" fillId="0" borderId="0" xfId="20" applyFont="1" applyFill="1" applyBorder="1" applyAlignment="1">
      <alignment horizontal="left"/>
      <protection/>
    </xf>
    <xf numFmtId="3" fontId="11" fillId="0" borderId="3" xfId="32" applyNumberFormat="1" applyFont="1" applyFill="1" applyBorder="1" applyAlignment="1">
      <alignment horizontal="right"/>
    </xf>
    <xf numFmtId="0" fontId="18" fillId="0" borderId="0" xfId="24" applyFill="1">
      <alignment/>
      <protection/>
    </xf>
    <xf numFmtId="3" fontId="11" fillId="0" borderId="1" xfId="32" applyNumberFormat="1" applyFont="1" applyFill="1" applyBorder="1" applyAlignment="1">
      <alignment horizontal="right"/>
    </xf>
    <xf numFmtId="0" fontId="10" fillId="0" borderId="5" xfId="20" applyFont="1" applyFill="1" applyBorder="1" applyAlignment="1">
      <alignment horizontal="right"/>
      <protection/>
    </xf>
    <xf numFmtId="3" fontId="10" fillId="0" borderId="6" xfId="32" applyNumberFormat="1" applyFont="1" applyFill="1" applyBorder="1" applyAlignment="1">
      <alignment/>
    </xf>
    <xf numFmtId="0" fontId="23" fillId="0" borderId="0" xfId="24" applyFont="1" applyFill="1">
      <alignment/>
      <protection/>
    </xf>
    <xf numFmtId="0" fontId="11" fillId="0" borderId="0" xfId="20" applyFont="1" applyFill="1" applyAlignment="1">
      <alignment horizontal="left"/>
      <protection/>
    </xf>
    <xf numFmtId="194" fontId="11" fillId="0" borderId="3" xfId="20" applyNumberFormat="1" applyFont="1" applyFill="1" applyBorder="1" applyAlignment="1">
      <alignment horizontal="right"/>
      <protection/>
    </xf>
    <xf numFmtId="3" fontId="11" fillId="0" borderId="3" xfId="20" applyNumberFormat="1" applyFont="1" applyFill="1" applyBorder="1">
      <alignment/>
      <protection/>
    </xf>
    <xf numFmtId="0" fontId="10" fillId="0" borderId="0" xfId="20" applyFont="1" applyFill="1">
      <alignment/>
      <protection/>
    </xf>
    <xf numFmtId="3" fontId="19" fillId="0" borderId="0" xfId="24" applyNumberFormat="1" applyFont="1" applyFill="1" applyAlignment="1">
      <alignment horizontal="center"/>
      <protection/>
    </xf>
    <xf numFmtId="194" fontId="11" fillId="0" borderId="3" xfId="32" applyNumberFormat="1" applyFont="1" applyFill="1" applyBorder="1" applyAlignment="1">
      <alignment horizontal="right"/>
    </xf>
    <xf numFmtId="3" fontId="11" fillId="0" borderId="3" xfId="32" applyNumberFormat="1" applyFont="1" applyFill="1" applyBorder="1" applyAlignment="1">
      <alignment/>
    </xf>
    <xf numFmtId="0" fontId="11" fillId="6" borderId="0" xfId="20" applyFont="1" applyFill="1">
      <alignment/>
      <protection/>
    </xf>
    <xf numFmtId="3" fontId="11" fillId="6" borderId="3" xfId="20" applyNumberFormat="1" applyFont="1" applyFill="1" applyBorder="1" applyAlignment="1">
      <alignment horizontal="right"/>
      <protection/>
    </xf>
    <xf numFmtId="3" fontId="11" fillId="6" borderId="3" xfId="20" applyNumberFormat="1" applyFont="1" applyFill="1" applyBorder="1">
      <alignment/>
      <protection/>
    </xf>
    <xf numFmtId="0" fontId="11" fillId="0" borderId="0" xfId="20" applyFont="1" applyFill="1">
      <alignment/>
      <protection/>
    </xf>
    <xf numFmtId="3" fontId="11" fillId="0" borderId="3" xfId="20" applyNumberFormat="1" applyFont="1" applyFill="1" applyBorder="1" applyAlignment="1">
      <alignment horizontal="right"/>
      <protection/>
    </xf>
    <xf numFmtId="0" fontId="23" fillId="0" borderId="0" xfId="24" applyFont="1">
      <alignment/>
      <protection/>
    </xf>
    <xf numFmtId="0" fontId="15" fillId="0" borderId="0" xfId="20" applyFont="1" applyFill="1" applyBorder="1" applyAlignment="1">
      <alignment horizontal="left"/>
      <protection/>
    </xf>
    <xf numFmtId="3" fontId="15" fillId="0" borderId="3" xfId="32" applyNumberFormat="1" applyFont="1" applyFill="1" applyBorder="1" applyAlignment="1">
      <alignment horizontal="right"/>
    </xf>
    <xf numFmtId="0" fontId="24" fillId="0" borderId="0" xfId="24" applyFont="1">
      <alignment/>
      <protection/>
    </xf>
    <xf numFmtId="3" fontId="10" fillId="0" borderId="4" xfId="32" applyNumberFormat="1" applyFont="1" applyFill="1" applyBorder="1" applyAlignment="1">
      <alignment/>
    </xf>
    <xf numFmtId="0" fontId="10" fillId="0" borderId="0" xfId="20" applyFont="1" applyFill="1" applyBorder="1" applyAlignment="1">
      <alignment horizontal="right"/>
      <protection/>
    </xf>
    <xf numFmtId="3" fontId="10" fillId="0" borderId="1" xfId="32" applyNumberFormat="1" applyFont="1" applyFill="1" applyBorder="1" applyAlignment="1">
      <alignment/>
    </xf>
    <xf numFmtId="0" fontId="10" fillId="0" borderId="11" xfId="20" applyFont="1" applyFill="1" applyBorder="1" applyAlignment="1">
      <alignment horizontal="left"/>
      <protection/>
    </xf>
    <xf numFmtId="3" fontId="10" fillId="0" borderId="11" xfId="32" applyNumberFormat="1" applyFont="1" applyFill="1" applyBorder="1" applyAlignment="1">
      <alignment horizontal="right"/>
    </xf>
    <xf numFmtId="194" fontId="11" fillId="0" borderId="0" xfId="32" applyNumberFormat="1" applyFont="1" applyFill="1" applyBorder="1" applyAlignment="1">
      <alignment horizontal="right"/>
    </xf>
    <xf numFmtId="3" fontId="11" fillId="0" borderId="0" xfId="32" applyNumberFormat="1" applyFont="1" applyFill="1" applyBorder="1" applyAlignment="1">
      <alignment/>
    </xf>
    <xf numFmtId="3" fontId="11" fillId="0" borderId="0" xfId="24" applyNumberFormat="1" applyFont="1" applyFill="1" applyBorder="1">
      <alignment/>
      <protection/>
    </xf>
    <xf numFmtId="3" fontId="18" fillId="0" borderId="0" xfId="24" applyNumberFormat="1" applyFill="1">
      <alignment/>
      <protection/>
    </xf>
    <xf numFmtId="3" fontId="18" fillId="0" borderId="0" xfId="24" applyNumberFormat="1">
      <alignment/>
      <protection/>
    </xf>
    <xf numFmtId="3" fontId="10" fillId="0" borderId="6" xfId="20" applyNumberFormat="1" applyFont="1" applyFill="1" applyBorder="1">
      <alignment/>
      <protection/>
    </xf>
    <xf numFmtId="3" fontId="10" fillId="0" borderId="0" xfId="20" applyNumberFormat="1" applyFont="1" applyFill="1" applyBorder="1">
      <alignment/>
      <protection/>
    </xf>
    <xf numFmtId="0" fontId="18" fillId="0" borderId="0" xfId="24" applyBorder="1">
      <alignment/>
      <protection/>
    </xf>
    <xf numFmtId="0" fontId="10" fillId="0" borderId="5" xfId="20" applyFont="1" applyFill="1" applyBorder="1" applyAlignment="1">
      <alignment horizontal="left"/>
      <protection/>
    </xf>
    <xf numFmtId="0" fontId="10" fillId="0" borderId="0" xfId="20" applyFont="1" applyFill="1" applyBorder="1" applyAlignment="1">
      <alignment horizontal="left"/>
      <protection/>
    </xf>
    <xf numFmtId="0" fontId="18" fillId="0" borderId="0" xfId="24" applyFill="1" applyBorder="1">
      <alignment/>
      <protection/>
    </xf>
    <xf numFmtId="194" fontId="11" fillId="0" borderId="0" xfId="20" applyNumberFormat="1" applyFont="1" applyFill="1" applyBorder="1" applyAlignment="1">
      <alignment horizontal="right"/>
      <protection/>
    </xf>
    <xf numFmtId="3" fontId="11" fillId="0" borderId="0" xfId="20" applyNumberFormat="1" applyFont="1" applyFill="1" applyBorder="1">
      <alignment/>
      <protection/>
    </xf>
    <xf numFmtId="0" fontId="10" fillId="0" borderId="0" xfId="20" applyFont="1" applyFill="1" applyAlignment="1">
      <alignment horizontal="left"/>
      <protection/>
    </xf>
    <xf numFmtId="3" fontId="10" fillId="0" borderId="5" xfId="20" applyNumberFormat="1" applyFont="1" applyFill="1" applyBorder="1">
      <alignment/>
      <protection/>
    </xf>
    <xf numFmtId="194" fontId="10" fillId="0" borderId="0" xfId="20" applyNumberFormat="1" applyFont="1" applyFill="1" applyBorder="1" applyAlignment="1">
      <alignment horizontal="right"/>
      <protection/>
    </xf>
    <xf numFmtId="3" fontId="11" fillId="0" borderId="0" xfId="24" applyNumberFormat="1" applyFont="1" applyFill="1">
      <alignment/>
      <protection/>
    </xf>
    <xf numFmtId="194" fontId="11" fillId="0" borderId="0" xfId="24" applyNumberFormat="1" applyFont="1" applyFill="1">
      <alignment/>
      <protection/>
    </xf>
    <xf numFmtId="3" fontId="11" fillId="0" borderId="2" xfId="24" applyNumberFormat="1" applyFont="1" applyFill="1" applyBorder="1">
      <alignment/>
      <protection/>
    </xf>
    <xf numFmtId="3" fontId="10" fillId="0" borderId="3" xfId="24" applyNumberFormat="1" applyFont="1" applyFill="1" applyBorder="1">
      <alignment/>
      <protection/>
    </xf>
    <xf numFmtId="3" fontId="10" fillId="0" borderId="6" xfId="24" applyNumberFormat="1" applyFont="1" applyFill="1" applyBorder="1">
      <alignment/>
      <protection/>
    </xf>
    <xf numFmtId="194" fontId="18" fillId="0" borderId="0" xfId="24" applyNumberFormat="1">
      <alignment/>
      <protection/>
    </xf>
    <xf numFmtId="0" fontId="10" fillId="0" borderId="12" xfId="20" applyFont="1" applyFill="1" applyBorder="1" applyAlignment="1">
      <alignment horizontal="left"/>
      <protection/>
    </xf>
    <xf numFmtId="0" fontId="11" fillId="0" borderId="0" xfId="24" applyFont="1" applyFill="1">
      <alignment/>
      <protection/>
    </xf>
    <xf numFmtId="0" fontId="10" fillId="0" borderId="0" xfId="24" applyFont="1" applyFill="1">
      <alignment/>
      <protection/>
    </xf>
    <xf numFmtId="0" fontId="11" fillId="0" borderId="0" xfId="24" applyFont="1" applyFill="1" applyAlignment="1">
      <alignment horizontal="left"/>
      <protection/>
    </xf>
    <xf numFmtId="0" fontId="11" fillId="0" borderId="0" xfId="24" applyFont="1">
      <alignment/>
      <protection/>
    </xf>
    <xf numFmtId="194" fontId="11" fillId="0" borderId="0" xfId="24" applyNumberFormat="1" applyFont="1">
      <alignment/>
      <protection/>
    </xf>
    <xf numFmtId="0" fontId="4" fillId="0" borderId="0" xfId="24" applyFont="1">
      <alignment/>
      <protection/>
    </xf>
    <xf numFmtId="194" fontId="4" fillId="0" borderId="0" xfId="24" applyNumberFormat="1" applyFont="1" applyFill="1">
      <alignment/>
      <protection/>
    </xf>
    <xf numFmtId="194" fontId="18" fillId="0" borderId="0" xfId="24" applyNumberFormat="1" applyFill="1">
      <alignment/>
      <protection/>
    </xf>
    <xf numFmtId="3" fontId="11" fillId="3" borderId="0" xfId="25" applyNumberFormat="1" applyFont="1" applyFill="1" applyBorder="1" applyAlignment="1">
      <alignment horizontal="right"/>
      <protection/>
    </xf>
    <xf numFmtId="3" fontId="10" fillId="0" borderId="5" xfId="25" applyNumberFormat="1" applyFont="1" applyBorder="1" applyAlignment="1">
      <alignment horizontal="left"/>
      <protection/>
    </xf>
    <xf numFmtId="3" fontId="10" fillId="3" borderId="0" xfId="25" applyNumberFormat="1" applyFont="1" applyFill="1" applyBorder="1">
      <alignment/>
      <protection/>
    </xf>
    <xf numFmtId="3" fontId="10" fillId="3" borderId="12" xfId="25" applyNumberFormat="1" applyFont="1" applyFill="1" applyBorder="1" applyAlignment="1">
      <alignment horizontal="left"/>
      <protection/>
    </xf>
    <xf numFmtId="0" fontId="21" fillId="0" borderId="0" xfId="20" applyFont="1" applyAlignment="1">
      <alignment horizontal="center"/>
      <protection/>
    </xf>
    <xf numFmtId="194" fontId="3" fillId="0" borderId="0" xfId="24" applyNumberFormat="1" applyFont="1">
      <alignment/>
      <protection/>
    </xf>
    <xf numFmtId="0" fontId="4" fillId="0" borderId="0" xfId="26" applyFont="1">
      <alignment/>
      <protection/>
    </xf>
    <xf numFmtId="181" fontId="4" fillId="0" borderId="0" xfId="26" applyNumberFormat="1" applyFont="1" applyAlignment="1">
      <alignment horizontal="center"/>
      <protection/>
    </xf>
    <xf numFmtId="3" fontId="4" fillId="0" borderId="0" xfId="26" applyNumberFormat="1" applyFont="1">
      <alignment/>
      <protection/>
    </xf>
    <xf numFmtId="9" fontId="7" fillId="0" borderId="0" xfId="26" applyNumberFormat="1" applyFont="1" applyAlignment="1">
      <alignment horizontal="center"/>
      <protection/>
    </xf>
    <xf numFmtId="9" fontId="4" fillId="0" borderId="0" xfId="28" applyFont="1" applyAlignment="1">
      <alignment/>
    </xf>
    <xf numFmtId="0" fontId="4" fillId="0" borderId="0" xfId="26" applyFont="1" applyAlignment="1">
      <alignment horizontal="center"/>
      <protection/>
    </xf>
    <xf numFmtId="179" fontId="4" fillId="0" borderId="0" xfId="26" applyNumberFormat="1" applyFont="1" applyAlignment="1">
      <alignment horizontal="left"/>
      <protection/>
    </xf>
    <xf numFmtId="9" fontId="6" fillId="0" borderId="0" xfId="26" applyNumberFormat="1" applyFont="1" applyAlignment="1">
      <alignment horizontal="center"/>
      <protection/>
    </xf>
    <xf numFmtId="0" fontId="26" fillId="0" borderId="0" xfId="26" applyFont="1" applyAlignment="1">
      <alignment horizontal="center"/>
      <protection/>
    </xf>
    <xf numFmtId="0" fontId="6" fillId="0" borderId="0" xfId="26" applyFont="1">
      <alignment/>
      <protection/>
    </xf>
    <xf numFmtId="0" fontId="3" fillId="0" borderId="0" xfId="26" applyFont="1">
      <alignment/>
      <protection/>
    </xf>
    <xf numFmtId="3" fontId="3" fillId="0" borderId="0" xfId="26" applyNumberFormat="1" applyFont="1" applyBorder="1">
      <alignment/>
      <protection/>
    </xf>
    <xf numFmtId="0" fontId="27" fillId="0" borderId="0" xfId="26" applyFont="1">
      <alignment/>
      <protection/>
    </xf>
    <xf numFmtId="0" fontId="10" fillId="0" borderId="0" xfId="26" applyFont="1" applyBorder="1">
      <alignment/>
      <protection/>
    </xf>
    <xf numFmtId="0" fontId="10" fillId="0" borderId="0" xfId="26" applyFont="1" applyAlignment="1">
      <alignment/>
      <protection/>
    </xf>
    <xf numFmtId="181" fontId="10" fillId="0" borderId="10" xfId="26" applyNumberFormat="1" applyFont="1" applyBorder="1" applyAlignment="1">
      <alignment horizontal="centerContinuous"/>
      <protection/>
    </xf>
    <xf numFmtId="9" fontId="29" fillId="0" borderId="0" xfId="26" applyNumberFormat="1" applyFont="1" applyBorder="1" applyAlignment="1">
      <alignment horizontal="centerContinuous"/>
      <protection/>
    </xf>
    <xf numFmtId="0" fontId="11" fillId="0" borderId="0" xfId="26" applyFont="1">
      <alignment/>
      <protection/>
    </xf>
    <xf numFmtId="0" fontId="10" fillId="0" borderId="0" xfId="26" applyFont="1" applyBorder="1" applyAlignment="1">
      <alignment horizontal="left"/>
      <protection/>
    </xf>
    <xf numFmtId="0" fontId="10" fillId="0" borderId="2" xfId="26" applyFont="1" applyBorder="1" applyAlignment="1">
      <alignment horizontal="center"/>
      <protection/>
    </xf>
    <xf numFmtId="3" fontId="10" fillId="0" borderId="7" xfId="26" applyNumberFormat="1" applyFont="1" applyBorder="1" applyAlignment="1">
      <alignment horizontal="center"/>
      <protection/>
    </xf>
    <xf numFmtId="3" fontId="10" fillId="5" borderId="7" xfId="26" applyNumberFormat="1" applyFont="1" applyFill="1" applyBorder="1" applyAlignment="1">
      <alignment horizontal="center"/>
      <protection/>
    </xf>
    <xf numFmtId="181" fontId="10" fillId="0" borderId="2" xfId="26" applyNumberFormat="1" applyFont="1" applyFill="1" applyBorder="1" applyAlignment="1">
      <alignment horizontal="center"/>
      <protection/>
    </xf>
    <xf numFmtId="3" fontId="28" fillId="6" borderId="8" xfId="26" applyNumberFormat="1" applyFont="1" applyFill="1" applyBorder="1" applyAlignment="1">
      <alignment horizontal="center"/>
      <protection/>
    </xf>
    <xf numFmtId="0" fontId="10" fillId="6" borderId="7" xfId="26" applyFont="1" applyFill="1" applyBorder="1" applyAlignment="1">
      <alignment horizontal="center"/>
      <protection/>
    </xf>
    <xf numFmtId="9" fontId="28" fillId="7" borderId="9" xfId="26" applyNumberFormat="1" applyFont="1" applyFill="1" applyBorder="1" applyAlignment="1">
      <alignment horizontal="center"/>
      <protection/>
    </xf>
    <xf numFmtId="181" fontId="28" fillId="8" borderId="9" xfId="26" applyNumberFormat="1" applyFont="1" applyFill="1" applyBorder="1" applyAlignment="1">
      <alignment horizontal="center"/>
      <protection/>
    </xf>
    <xf numFmtId="0" fontId="7" fillId="0" borderId="0" xfId="26" applyFont="1">
      <alignment/>
      <protection/>
    </xf>
    <xf numFmtId="0" fontId="11" fillId="0" borderId="0" xfId="26" applyFont="1" applyBorder="1">
      <alignment/>
      <protection/>
    </xf>
    <xf numFmtId="0" fontId="10" fillId="0" borderId="6" xfId="26" applyFont="1" applyBorder="1" applyAlignment="1">
      <alignment horizontal="center"/>
      <protection/>
    </xf>
    <xf numFmtId="1" fontId="10" fillId="0" borderId="4" xfId="26" applyNumberFormat="1" applyFont="1" applyBorder="1" applyAlignment="1">
      <alignment horizontal="center"/>
      <protection/>
    </xf>
    <xf numFmtId="3" fontId="10" fillId="5" borderId="4" xfId="26" applyNumberFormat="1" applyFont="1" applyFill="1" applyBorder="1" applyAlignment="1">
      <alignment horizontal="center"/>
      <protection/>
    </xf>
    <xf numFmtId="181" fontId="10" fillId="0" borderId="6" xfId="26" applyNumberFormat="1" applyFont="1" applyFill="1" applyBorder="1" applyAlignment="1">
      <alignment horizontal="center"/>
      <protection/>
    </xf>
    <xf numFmtId="49" fontId="28" fillId="6" borderId="5" xfId="26" applyNumberFormat="1" applyFont="1" applyFill="1" applyBorder="1" applyAlignment="1">
      <alignment horizontal="right"/>
      <protection/>
    </xf>
    <xf numFmtId="0" fontId="10" fillId="6" borderId="4" xfId="26" applyFont="1" applyFill="1" applyBorder="1" applyAlignment="1">
      <alignment horizontal="center"/>
      <protection/>
    </xf>
    <xf numFmtId="9" fontId="28" fillId="7" borderId="11" xfId="26" applyNumberFormat="1" applyFont="1" applyFill="1" applyBorder="1" applyAlignment="1">
      <alignment horizontal="center"/>
      <protection/>
    </xf>
    <xf numFmtId="181" fontId="28" fillId="8" borderId="11" xfId="26" applyNumberFormat="1" applyFont="1" applyFill="1" applyBorder="1" applyAlignment="1">
      <alignment horizontal="center"/>
      <protection/>
    </xf>
    <xf numFmtId="0" fontId="10" fillId="4" borderId="0" xfId="26" applyFont="1" applyFill="1">
      <alignment/>
      <protection/>
    </xf>
    <xf numFmtId="0" fontId="10" fillId="4" borderId="3" xfId="26" applyFont="1" applyFill="1" applyBorder="1">
      <alignment/>
      <protection/>
    </xf>
    <xf numFmtId="3" fontId="11" fillId="0" borderId="1" xfId="26" applyNumberFormat="1" applyFont="1" applyBorder="1">
      <alignment/>
      <protection/>
    </xf>
    <xf numFmtId="3" fontId="11" fillId="5" borderId="1" xfId="26" applyNumberFormat="1" applyFont="1" applyFill="1" applyBorder="1">
      <alignment/>
      <protection/>
    </xf>
    <xf numFmtId="181" fontId="11" fillId="0" borderId="3" xfId="26" applyNumberFormat="1" applyFont="1" applyFill="1" applyBorder="1" applyAlignment="1">
      <alignment horizontal="center"/>
      <protection/>
    </xf>
    <xf numFmtId="3" fontId="29" fillId="6" borderId="0" xfId="26" applyNumberFormat="1" applyFont="1" applyFill="1" applyBorder="1">
      <alignment/>
      <protection/>
    </xf>
    <xf numFmtId="0" fontId="10" fillId="6" borderId="1" xfId="26" applyFont="1" applyFill="1" applyBorder="1">
      <alignment/>
      <protection/>
    </xf>
    <xf numFmtId="9" fontId="29" fillId="7" borderId="10" xfId="26" applyNumberFormat="1" applyFont="1" applyFill="1" applyBorder="1" applyAlignment="1">
      <alignment horizontal="center"/>
      <protection/>
    </xf>
    <xf numFmtId="0" fontId="29" fillId="8" borderId="10" xfId="26" applyFont="1" applyFill="1" applyBorder="1" applyAlignment="1">
      <alignment horizontal="center"/>
      <protection/>
    </xf>
    <xf numFmtId="0" fontId="4" fillId="0" borderId="0" xfId="26" applyFont="1" applyFill="1" applyAlignment="1">
      <alignment horizontal="center"/>
      <protection/>
    </xf>
    <xf numFmtId="3" fontId="11" fillId="0" borderId="3" xfId="26" applyNumberFormat="1" applyFont="1" applyBorder="1">
      <alignment/>
      <protection/>
    </xf>
    <xf numFmtId="3" fontId="11" fillId="0" borderId="1" xfId="23" applyNumberFormat="1" applyFont="1" applyFill="1" applyBorder="1" applyAlignment="1">
      <alignment horizontal="right"/>
      <protection/>
    </xf>
    <xf numFmtId="9" fontId="11" fillId="0" borderId="3" xfId="28" applyFont="1" applyFill="1" applyBorder="1" applyAlignment="1">
      <alignment horizontal="center"/>
    </xf>
    <xf numFmtId="3" fontId="29" fillId="6" borderId="0" xfId="16" applyNumberFormat="1" applyFont="1" applyFill="1" applyAlignment="1">
      <alignment/>
    </xf>
    <xf numFmtId="0" fontId="11" fillId="6" borderId="1" xfId="26" applyFont="1" applyFill="1" applyBorder="1">
      <alignment/>
      <protection/>
    </xf>
    <xf numFmtId="9" fontId="29" fillId="7" borderId="10" xfId="28" applyNumberFormat="1" applyFont="1" applyFill="1" applyBorder="1" applyAlignment="1">
      <alignment horizontal="center"/>
    </xf>
    <xf numFmtId="9" fontId="28" fillId="8" borderId="10" xfId="28" applyFont="1" applyFill="1" applyBorder="1" applyAlignment="1">
      <alignment horizontal="center"/>
    </xf>
    <xf numFmtId="3" fontId="4" fillId="0" borderId="0" xfId="26" applyNumberFormat="1" applyFont="1" applyAlignment="1">
      <alignment horizontal="center"/>
      <protection/>
    </xf>
    <xf numFmtId="9" fontId="4" fillId="0" borderId="0" xfId="28" applyFont="1" applyAlignment="1">
      <alignment horizontal="center"/>
    </xf>
    <xf numFmtId="3" fontId="11" fillId="0" borderId="6" xfId="26" applyNumberFormat="1" applyFont="1" applyBorder="1">
      <alignment/>
      <protection/>
    </xf>
    <xf numFmtId="3" fontId="11" fillId="0" borderId="4" xfId="23" applyNumberFormat="1" applyFont="1" applyFill="1" applyBorder="1" applyAlignment="1">
      <alignment horizontal="right"/>
      <protection/>
    </xf>
    <xf numFmtId="3" fontId="11" fillId="5" borderId="4" xfId="26" applyNumberFormat="1" applyFont="1" applyFill="1" applyBorder="1">
      <alignment/>
      <protection/>
    </xf>
    <xf numFmtId="9" fontId="11" fillId="0" borderId="6" xfId="28" applyFont="1" applyFill="1" applyBorder="1" applyAlignment="1">
      <alignment horizontal="center"/>
    </xf>
    <xf numFmtId="3" fontId="29" fillId="6" borderId="5" xfId="16" applyNumberFormat="1" applyFont="1" applyFill="1" applyBorder="1" applyAlignment="1">
      <alignment/>
    </xf>
    <xf numFmtId="0" fontId="11" fillId="6" borderId="4" xfId="26" applyFont="1" applyFill="1" applyBorder="1">
      <alignment/>
      <protection/>
    </xf>
    <xf numFmtId="9" fontId="29" fillId="7" borderId="11" xfId="28" applyNumberFormat="1" applyFont="1" applyFill="1" applyBorder="1" applyAlignment="1">
      <alignment horizontal="center"/>
    </xf>
    <xf numFmtId="9" fontId="28" fillId="8" borderId="11" xfId="28" applyFont="1" applyFill="1" applyBorder="1" applyAlignment="1">
      <alignment horizontal="center"/>
    </xf>
    <xf numFmtId="0" fontId="10" fillId="0" borderId="0" xfId="26" applyFont="1">
      <alignment/>
      <protection/>
    </xf>
    <xf numFmtId="3" fontId="10" fillId="0" borderId="1" xfId="26" applyNumberFormat="1" applyFont="1" applyFill="1" applyBorder="1">
      <alignment/>
      <protection/>
    </xf>
    <xf numFmtId="3" fontId="10" fillId="4" borderId="1" xfId="26" applyNumberFormat="1" applyFont="1" applyFill="1" applyBorder="1">
      <alignment/>
      <protection/>
    </xf>
    <xf numFmtId="3" fontId="10" fillId="5" borderId="1" xfId="26" applyNumberFormat="1" applyFont="1" applyFill="1" applyBorder="1">
      <alignment/>
      <protection/>
    </xf>
    <xf numFmtId="3" fontId="28" fillId="6" borderId="0" xfId="26" applyNumberFormat="1" applyFont="1" applyFill="1" applyBorder="1">
      <alignment/>
      <protection/>
    </xf>
    <xf numFmtId="3" fontId="10" fillId="6" borderId="1" xfId="26" applyNumberFormat="1" applyFont="1" applyFill="1" applyBorder="1">
      <alignment/>
      <protection/>
    </xf>
    <xf numFmtId="3" fontId="11" fillId="0" borderId="3" xfId="26" applyNumberFormat="1" applyFont="1" applyFill="1" applyBorder="1">
      <alignment/>
      <protection/>
    </xf>
    <xf numFmtId="3" fontId="10" fillId="0" borderId="3" xfId="26" applyNumberFormat="1" applyFont="1" applyFill="1" applyBorder="1">
      <alignment/>
      <protection/>
    </xf>
    <xf numFmtId="0" fontId="11" fillId="0" borderId="1" xfId="26" applyFont="1" applyBorder="1">
      <alignment/>
      <protection/>
    </xf>
    <xf numFmtId="3" fontId="11" fillId="0" borderId="6" xfId="26" applyNumberFormat="1" applyFont="1" applyFill="1" applyBorder="1">
      <alignment/>
      <protection/>
    </xf>
    <xf numFmtId="3" fontId="10" fillId="0" borderId="1" xfId="26" applyNumberFormat="1" applyFont="1" applyBorder="1">
      <alignment/>
      <protection/>
    </xf>
    <xf numFmtId="3" fontId="28" fillId="6" borderId="0" xfId="16" applyNumberFormat="1" applyFont="1" applyFill="1" applyAlignment="1">
      <alignment/>
    </xf>
    <xf numFmtId="3" fontId="10" fillId="0" borderId="1" xfId="23" applyNumberFormat="1" applyFont="1" applyFill="1" applyBorder="1" applyAlignment="1">
      <alignment horizontal="right"/>
      <protection/>
    </xf>
    <xf numFmtId="3" fontId="10" fillId="5" borderId="1" xfId="23" applyNumberFormat="1" applyFont="1" applyFill="1" applyBorder="1" applyAlignment="1">
      <alignment horizontal="right"/>
      <protection/>
    </xf>
    <xf numFmtId="0" fontId="11" fillId="0" borderId="0" xfId="26" applyFont="1" applyAlignment="1">
      <alignment/>
      <protection/>
    </xf>
    <xf numFmtId="3" fontId="11" fillId="0" borderId="3" xfId="26" applyNumberFormat="1" applyFont="1" applyFill="1" applyBorder="1" applyAlignment="1">
      <alignment/>
      <protection/>
    </xf>
    <xf numFmtId="0" fontId="11" fillId="6" borderId="1" xfId="26" applyFont="1" applyFill="1" applyBorder="1" applyAlignment="1">
      <alignment/>
      <protection/>
    </xf>
    <xf numFmtId="9" fontId="4" fillId="0" borderId="0" xfId="28" applyFont="1" applyAlignment="1">
      <alignment horizontal="left"/>
    </xf>
    <xf numFmtId="3" fontId="3" fillId="0" borderId="0" xfId="26" applyNumberFormat="1" applyFont="1" applyAlignment="1">
      <alignment horizontal="center"/>
      <protection/>
    </xf>
    <xf numFmtId="180" fontId="3" fillId="0" borderId="0" xfId="26" applyNumberFormat="1" applyFont="1">
      <alignment/>
      <protection/>
    </xf>
    <xf numFmtId="3" fontId="7" fillId="0" borderId="0" xfId="16" applyNumberFormat="1" applyFont="1" applyAlignment="1">
      <alignment/>
    </xf>
    <xf numFmtId="0" fontId="15" fillId="0" borderId="0" xfId="26" applyFont="1" applyAlignment="1">
      <alignment/>
      <protection/>
    </xf>
    <xf numFmtId="3" fontId="15" fillId="4" borderId="6" xfId="26" applyNumberFormat="1" applyFont="1" applyFill="1" applyBorder="1" applyAlignment="1">
      <alignment/>
      <protection/>
    </xf>
    <xf numFmtId="3" fontId="15" fillId="0" borderId="6" xfId="26" applyNumberFormat="1" applyFont="1" applyFill="1" applyBorder="1" applyAlignment="1">
      <alignment/>
      <protection/>
    </xf>
    <xf numFmtId="3" fontId="15" fillId="0" borderId="4" xfId="26" applyNumberFormat="1" applyFont="1" applyBorder="1">
      <alignment/>
      <protection/>
    </xf>
    <xf numFmtId="3" fontId="15" fillId="5" borderId="4" xfId="26" applyNumberFormat="1" applyFont="1" applyFill="1" applyBorder="1">
      <alignment/>
      <protection/>
    </xf>
    <xf numFmtId="3" fontId="30" fillId="6" borderId="5" xfId="16" applyNumberFormat="1" applyFont="1" applyFill="1" applyBorder="1" applyAlignment="1">
      <alignment/>
    </xf>
    <xf numFmtId="0" fontId="15" fillId="6" borderId="4" xfId="26" applyFont="1" applyFill="1" applyBorder="1" applyAlignment="1">
      <alignment/>
      <protection/>
    </xf>
    <xf numFmtId="3" fontId="31" fillId="0" borderId="0" xfId="26" applyNumberFormat="1" applyFont="1">
      <alignment/>
      <protection/>
    </xf>
    <xf numFmtId="9" fontId="31" fillId="0" borderId="0" xfId="28" applyFont="1" applyAlignment="1">
      <alignment/>
    </xf>
    <xf numFmtId="0" fontId="31" fillId="0" borderId="0" xfId="26" applyFont="1" applyAlignment="1">
      <alignment horizontal="center"/>
      <protection/>
    </xf>
    <xf numFmtId="0" fontId="31" fillId="0" borderId="0" xfId="26" applyFont="1">
      <alignment/>
      <protection/>
    </xf>
    <xf numFmtId="0" fontId="11" fillId="0" borderId="4" xfId="26" applyFont="1" applyBorder="1">
      <alignment/>
      <protection/>
    </xf>
    <xf numFmtId="0" fontId="10" fillId="0" borderId="13" xfId="26" applyFont="1" applyFill="1" applyBorder="1">
      <alignment/>
      <protection/>
    </xf>
    <xf numFmtId="3" fontId="10" fillId="0" borderId="13" xfId="26" applyNumberFormat="1" applyFont="1" applyFill="1" applyBorder="1">
      <alignment/>
      <protection/>
    </xf>
    <xf numFmtId="3" fontId="10" fillId="5" borderId="13" xfId="26" applyNumberFormat="1" applyFont="1" applyFill="1" applyBorder="1">
      <alignment/>
      <protection/>
    </xf>
    <xf numFmtId="9" fontId="11" fillId="0" borderId="14" xfId="28" applyFont="1" applyFill="1" applyBorder="1" applyAlignment="1">
      <alignment horizontal="center"/>
    </xf>
    <xf numFmtId="3" fontId="28" fillId="6" borderId="12" xfId="16" applyNumberFormat="1" applyFont="1" applyFill="1" applyBorder="1" applyAlignment="1">
      <alignment/>
    </xf>
    <xf numFmtId="3" fontId="10" fillId="6" borderId="13" xfId="26" applyNumberFormat="1" applyFont="1" applyFill="1" applyBorder="1">
      <alignment/>
      <protection/>
    </xf>
    <xf numFmtId="9" fontId="29" fillId="7" borderId="15" xfId="28" applyNumberFormat="1" applyFont="1" applyFill="1" applyBorder="1" applyAlignment="1">
      <alignment horizontal="center"/>
    </xf>
    <xf numFmtId="9" fontId="28" fillId="8" borderId="14" xfId="28" applyFont="1" applyFill="1" applyBorder="1" applyAlignment="1">
      <alignment horizontal="center"/>
    </xf>
    <xf numFmtId="0" fontId="28" fillId="0" borderId="0" xfId="26" applyFont="1" applyFill="1" applyBorder="1">
      <alignment/>
      <protection/>
    </xf>
    <xf numFmtId="0" fontId="29" fillId="0" borderId="0" xfId="26" applyFont="1" applyFill="1" applyBorder="1">
      <alignment/>
      <protection/>
    </xf>
    <xf numFmtId="3" fontId="28" fillId="0" borderId="0" xfId="26" applyNumberFormat="1" applyFont="1" applyFill="1" applyBorder="1">
      <alignment/>
      <protection/>
    </xf>
    <xf numFmtId="0" fontId="29" fillId="0" borderId="0" xfId="26" applyFont="1">
      <alignment/>
      <protection/>
    </xf>
    <xf numFmtId="3" fontId="29" fillId="0" borderId="0" xfId="26" applyNumberFormat="1" applyFont="1">
      <alignment/>
      <protection/>
    </xf>
    <xf numFmtId="9" fontId="29" fillId="0" borderId="0" xfId="26" applyNumberFormat="1" applyFont="1">
      <alignment/>
      <protection/>
    </xf>
    <xf numFmtId="9" fontId="7" fillId="0" borderId="0" xfId="28" applyFont="1" applyAlignment="1">
      <alignment/>
    </xf>
    <xf numFmtId="0" fontId="7" fillId="0" borderId="0" xfId="26" applyFont="1" applyAlignment="1">
      <alignment horizontal="center"/>
      <protection/>
    </xf>
    <xf numFmtId="3" fontId="11" fillId="0" borderId="0" xfId="16" applyNumberFormat="1" applyFont="1" applyBorder="1" applyAlignment="1">
      <alignment horizontal="center"/>
    </xf>
    <xf numFmtId="3" fontId="11" fillId="0" borderId="0" xfId="26" applyNumberFormat="1" applyFont="1">
      <alignment/>
      <protection/>
    </xf>
    <xf numFmtId="9" fontId="11" fillId="0" borderId="0" xfId="26" applyNumberFormat="1" applyFont="1" applyBorder="1" applyAlignment="1">
      <alignment horizontal="center"/>
      <protection/>
    </xf>
    <xf numFmtId="3" fontId="11" fillId="0" borderId="0" xfId="16" applyNumberFormat="1" applyFont="1" applyBorder="1" applyAlignment="1">
      <alignment/>
    </xf>
    <xf numFmtId="3" fontId="11" fillId="0" borderId="0" xfId="26" applyNumberFormat="1" applyFont="1" applyBorder="1">
      <alignment/>
      <protection/>
    </xf>
    <xf numFmtId="0" fontId="11" fillId="0" borderId="0" xfId="26" applyFont="1" applyBorder="1" applyAlignment="1">
      <alignment horizontal="center"/>
      <protection/>
    </xf>
    <xf numFmtId="9" fontId="29" fillId="0" borderId="0" xfId="26" applyNumberFormat="1" applyFont="1" applyAlignment="1">
      <alignment horizontal="center"/>
      <protection/>
    </xf>
    <xf numFmtId="3" fontId="11" fillId="0" borderId="0" xfId="16" applyNumberFormat="1" applyFont="1" applyAlignment="1">
      <alignment/>
    </xf>
    <xf numFmtId="0" fontId="11" fillId="0" borderId="0" xfId="26" applyFont="1" applyFill="1" applyBorder="1">
      <alignment/>
      <protection/>
    </xf>
    <xf numFmtId="3" fontId="11" fillId="0" borderId="0" xfId="26" applyNumberFormat="1" applyFont="1" applyFill="1" applyBorder="1">
      <alignment/>
      <protection/>
    </xf>
    <xf numFmtId="0" fontId="11" fillId="0" borderId="0" xfId="26" applyFont="1" applyFill="1" applyAlignment="1">
      <alignment horizontal="center"/>
      <protection/>
    </xf>
    <xf numFmtId="9" fontId="11" fillId="0" borderId="0" xfId="28" applyFont="1" applyFill="1" applyAlignment="1">
      <alignment/>
    </xf>
    <xf numFmtId="0" fontId="32" fillId="0" borderId="0" xfId="26" applyFont="1" applyFill="1" applyBorder="1">
      <alignment/>
      <protection/>
    </xf>
    <xf numFmtId="0" fontId="4" fillId="0" borderId="0" xfId="26" applyFont="1" applyFill="1" applyBorder="1">
      <alignment/>
      <protection/>
    </xf>
    <xf numFmtId="3" fontId="4" fillId="0" borderId="0" xfId="26" applyNumberFormat="1" applyFont="1" applyFill="1" applyBorder="1">
      <alignment/>
      <protection/>
    </xf>
    <xf numFmtId="0" fontId="4" fillId="0" borderId="0" xfId="26" applyFont="1" applyFill="1" applyBorder="1" applyAlignment="1">
      <alignment horizontal="center"/>
      <protection/>
    </xf>
    <xf numFmtId="3" fontId="3" fillId="0" borderId="0" xfId="26" applyNumberFormat="1" applyFont="1" applyBorder="1" applyAlignment="1">
      <alignment horizontal="right"/>
      <protection/>
    </xf>
    <xf numFmtId="9" fontId="4" fillId="0" borderId="0" xfId="26" applyNumberFormat="1" applyFont="1" applyAlignment="1">
      <alignment horizontal="center"/>
      <protection/>
    </xf>
    <xf numFmtId="9" fontId="4" fillId="0" borderId="0" xfId="28" applyFont="1" applyBorder="1" applyAlignment="1">
      <alignment/>
    </xf>
    <xf numFmtId="0" fontId="4" fillId="0" borderId="0" xfId="26" applyFont="1" applyBorder="1">
      <alignment/>
      <protection/>
    </xf>
    <xf numFmtId="0" fontId="4" fillId="0" borderId="0" xfId="26" applyFont="1" applyBorder="1" applyAlignment="1">
      <alignment horizontal="center"/>
      <protection/>
    </xf>
    <xf numFmtId="9" fontId="3" fillId="0" borderId="0" xfId="28" applyFont="1" applyBorder="1" applyAlignment="1">
      <alignment/>
    </xf>
    <xf numFmtId="0" fontId="3" fillId="0" borderId="0" xfId="26" applyFont="1" applyBorder="1">
      <alignment/>
      <protection/>
    </xf>
    <xf numFmtId="0" fontId="8" fillId="0" borderId="0" xfId="26" applyFont="1" applyBorder="1" applyAlignment="1">
      <alignment horizontal="right"/>
      <protection/>
    </xf>
    <xf numFmtId="0" fontId="3" fillId="0" borderId="0" xfId="26" applyFont="1" applyBorder="1" applyAlignment="1">
      <alignment horizontal="right"/>
      <protection/>
    </xf>
    <xf numFmtId="0" fontId="4" fillId="0" borderId="0" xfId="26" applyFont="1" applyBorder="1" applyAlignment="1">
      <alignment horizontal="right"/>
      <protection/>
    </xf>
    <xf numFmtId="3" fontId="4" fillId="0" borderId="0" xfId="26" applyNumberFormat="1" applyFont="1" applyBorder="1">
      <alignment/>
      <protection/>
    </xf>
    <xf numFmtId="3" fontId="4" fillId="0" borderId="0" xfId="26" applyNumberFormat="1" applyFont="1" applyBorder="1" applyAlignment="1">
      <alignment horizontal="right"/>
      <protection/>
    </xf>
    <xf numFmtId="180" fontId="4" fillId="0" borderId="0" xfId="26" applyNumberFormat="1" applyFont="1" applyBorder="1" applyAlignment="1">
      <alignment horizontal="right"/>
      <protection/>
    </xf>
    <xf numFmtId="3" fontId="3" fillId="0" borderId="0" xfId="26" applyNumberFormat="1" applyFont="1">
      <alignment/>
      <protection/>
    </xf>
    <xf numFmtId="180" fontId="3" fillId="0" borderId="0" xfId="26" applyNumberFormat="1" applyFont="1" applyBorder="1" applyAlignment="1">
      <alignment horizontal="right"/>
      <protection/>
    </xf>
    <xf numFmtId="3" fontId="3" fillId="0" borderId="0" xfId="26" applyNumberFormat="1" applyFont="1" applyBorder="1" applyAlignment="1">
      <alignment horizontal="center"/>
      <protection/>
    </xf>
    <xf numFmtId="180" fontId="3" fillId="0" borderId="0" xfId="26" applyNumberFormat="1" applyFont="1" applyBorder="1" applyAlignment="1">
      <alignment horizontal="center"/>
      <protection/>
    </xf>
    <xf numFmtId="9" fontId="3" fillId="0" borderId="0" xfId="28" applyFont="1" applyBorder="1" applyAlignment="1">
      <alignment horizontal="right"/>
    </xf>
    <xf numFmtId="0" fontId="4" fillId="0" borderId="0" xfId="27" applyFont="1">
      <alignment/>
      <protection/>
    </xf>
    <xf numFmtId="4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0" fontId="6" fillId="0" borderId="0" xfId="27" applyFont="1">
      <alignment/>
      <protection/>
    </xf>
    <xf numFmtId="0" fontId="36" fillId="0" borderId="14" xfId="27" applyFont="1" applyBorder="1">
      <alignment/>
      <protection/>
    </xf>
    <xf numFmtId="0" fontId="4" fillId="0" borderId="3" xfId="27" applyFont="1" applyBorder="1">
      <alignment/>
      <protection/>
    </xf>
    <xf numFmtId="0" fontId="4" fillId="0" borderId="10" xfId="27" applyFont="1" applyBorder="1">
      <alignment/>
      <protection/>
    </xf>
    <xf numFmtId="0" fontId="3" fillId="0" borderId="10" xfId="27" applyFont="1" applyBorder="1" applyAlignment="1">
      <alignment horizontal="right" wrapText="1"/>
      <protection/>
    </xf>
    <xf numFmtId="0" fontId="3" fillId="0" borderId="3" xfId="27" applyFont="1" applyBorder="1">
      <alignment/>
      <protection/>
    </xf>
    <xf numFmtId="0" fontId="3" fillId="0" borderId="10" xfId="27" applyFont="1" applyBorder="1">
      <alignment/>
      <protection/>
    </xf>
    <xf numFmtId="3" fontId="4" fillId="0" borderId="10" xfId="27" applyNumberFormat="1" applyFont="1" applyBorder="1">
      <alignment/>
      <protection/>
    </xf>
    <xf numFmtId="3" fontId="4" fillId="0" borderId="10" xfId="27" applyNumberFormat="1" applyFont="1" applyBorder="1" applyAlignment="1">
      <alignment horizontal="right"/>
      <protection/>
    </xf>
    <xf numFmtId="3" fontId="4" fillId="0" borderId="0" xfId="27" applyNumberFormat="1" applyFont="1">
      <alignment/>
      <protection/>
    </xf>
    <xf numFmtId="0" fontId="3" fillId="0" borderId="14" xfId="27" applyFont="1" applyBorder="1">
      <alignment/>
      <protection/>
    </xf>
    <xf numFmtId="3" fontId="3" fillId="0" borderId="15" xfId="27" applyNumberFormat="1" applyFont="1" applyBorder="1" applyAlignment="1">
      <alignment horizontal="right"/>
      <protection/>
    </xf>
    <xf numFmtId="3" fontId="3" fillId="0" borderId="10" xfId="27" applyNumberFormat="1" applyFont="1" applyBorder="1" applyAlignment="1">
      <alignment horizontal="right"/>
      <protection/>
    </xf>
    <xf numFmtId="0" fontId="4" fillId="0" borderId="0" xfId="27" applyFont="1" applyBorder="1">
      <alignment/>
      <protection/>
    </xf>
    <xf numFmtId="3" fontId="3" fillId="0" borderId="15" xfId="27" applyNumberFormat="1" applyFont="1" applyBorder="1">
      <alignment/>
      <protection/>
    </xf>
    <xf numFmtId="4" fontId="4" fillId="0" borderId="0" xfId="28" applyNumberFormat="1" applyFont="1" applyAlignment="1">
      <alignment/>
    </xf>
    <xf numFmtId="3" fontId="4" fillId="0" borderId="0" xfId="21" applyNumberFormat="1" applyFont="1">
      <alignment/>
      <protection/>
    </xf>
    <xf numFmtId="3" fontId="3" fillId="0" borderId="0" xfId="27" applyNumberFormat="1" applyFont="1" applyBorder="1">
      <alignment/>
      <protection/>
    </xf>
    <xf numFmtId="0" fontId="4" fillId="0" borderId="14" xfId="21" applyFont="1" applyBorder="1">
      <alignment/>
      <protection/>
    </xf>
    <xf numFmtId="3" fontId="4" fillId="0" borderId="14" xfId="21" applyNumberFormat="1" applyFont="1" applyBorder="1">
      <alignment/>
      <protection/>
    </xf>
    <xf numFmtId="3" fontId="4" fillId="0" borderId="14" xfId="27" applyNumberFormat="1" applyFont="1" applyBorder="1">
      <alignment/>
      <protection/>
    </xf>
    <xf numFmtId="3" fontId="3" fillId="0" borderId="6" xfId="27" applyNumberFormat="1" applyFont="1" applyBorder="1">
      <alignment/>
      <protection/>
    </xf>
    <xf numFmtId="3" fontId="3" fillId="0" borderId="0" xfId="25" applyNumberFormat="1" applyFont="1" applyFill="1">
      <alignment/>
      <protection/>
    </xf>
    <xf numFmtId="0" fontId="3" fillId="0" borderId="15" xfId="27" applyFont="1" applyBorder="1" applyAlignment="1">
      <alignment horizontal="centerContinuous" vertical="center" wrapText="1"/>
      <protection/>
    </xf>
    <xf numFmtId="0" fontId="3" fillId="0" borderId="15" xfId="27" applyFont="1" applyBorder="1" applyAlignment="1">
      <alignment horizontal="center" vertical="center" wrapText="1"/>
      <protection/>
    </xf>
    <xf numFmtId="0" fontId="3" fillId="0" borderId="0" xfId="27" applyFont="1">
      <alignment/>
      <protection/>
    </xf>
    <xf numFmtId="0" fontId="8" fillId="0" borderId="0" xfId="25" applyFont="1" applyFill="1" applyBorder="1" applyAlignment="1">
      <alignment horizontal="lef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11" fillId="0" borderId="0" xfId="22" applyNumberFormat="1" applyFont="1" applyBorder="1">
      <alignment/>
      <protection/>
    </xf>
    <xf numFmtId="3" fontId="3" fillId="0" borderId="0" xfId="25" applyNumberFormat="1" applyFont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20" applyFont="1" applyAlignment="1">
      <alignment horizontal="left"/>
      <protection/>
    </xf>
    <xf numFmtId="0" fontId="6" fillId="0" borderId="0" xfId="22" applyFont="1" applyBorder="1" applyAlignment="1">
      <alignment horizontal="left"/>
      <protection/>
    </xf>
    <xf numFmtId="3" fontId="3" fillId="0" borderId="0" xfId="0" applyNumberFormat="1" applyFont="1" applyAlignment="1">
      <alignment/>
    </xf>
    <xf numFmtId="3" fontId="13" fillId="0" borderId="0" xfId="25" applyNumberFormat="1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13" fillId="0" borderId="0" xfId="0" applyFont="1" applyBorder="1" applyAlignment="1">
      <alignment/>
    </xf>
    <xf numFmtId="14" fontId="4" fillId="0" borderId="0" xfId="20" applyNumberFormat="1" applyFont="1" applyAlignment="1">
      <alignment horizontal="left"/>
      <protection/>
    </xf>
    <xf numFmtId="0" fontId="4" fillId="0" borderId="0" xfId="20" applyFont="1">
      <alignment/>
      <protection/>
    </xf>
    <xf numFmtId="0" fontId="4" fillId="0" borderId="0" xfId="20" applyFont="1" applyFill="1">
      <alignment/>
      <protection/>
    </xf>
    <xf numFmtId="3" fontId="4" fillId="0" borderId="0" xfId="20" applyNumberFormat="1" applyFont="1" applyAlignment="1">
      <alignment horizontal="right"/>
      <protection/>
    </xf>
    <xf numFmtId="0" fontId="4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4" fontId="4" fillId="0" borderId="0" xfId="20" applyNumberFormat="1" applyFont="1" applyFill="1">
      <alignment/>
      <protection/>
    </xf>
    <xf numFmtId="0" fontId="4" fillId="0" borderId="0" xfId="20" applyFont="1" applyFill="1" applyBorder="1">
      <alignment/>
      <protection/>
    </xf>
    <xf numFmtId="3" fontId="4" fillId="0" borderId="0" xfId="20" applyNumberFormat="1" applyFont="1">
      <alignment/>
      <protection/>
    </xf>
    <xf numFmtId="3" fontId="4" fillId="0" borderId="0" xfId="20" applyNumberFormat="1" applyFont="1" applyFill="1" applyAlignment="1">
      <alignment horizontal="right"/>
      <protection/>
    </xf>
    <xf numFmtId="0" fontId="4" fillId="0" borderId="0" xfId="20" applyFont="1" applyFill="1" applyAlignment="1">
      <alignment horizontal="right"/>
      <protection/>
    </xf>
    <xf numFmtId="0" fontId="3" fillId="0" borderId="0" xfId="20" applyFont="1" applyAlignment="1">
      <alignment horizontal="left"/>
      <protection/>
    </xf>
    <xf numFmtId="3" fontId="3" fillId="0" borderId="0" xfId="32" applyNumberFormat="1" applyFont="1" applyAlignment="1">
      <alignment horizontal="right"/>
    </xf>
    <xf numFmtId="3" fontId="3" fillId="0" borderId="7" xfId="32" applyNumberFormat="1" applyFont="1" applyBorder="1" applyAlignment="1">
      <alignment horizontal="centerContinuous"/>
    </xf>
    <xf numFmtId="0" fontId="4" fillId="0" borderId="8" xfId="20" applyFont="1" applyFill="1" applyBorder="1" applyAlignment="1">
      <alignment horizontal="centerContinuous"/>
      <protection/>
    </xf>
    <xf numFmtId="3" fontId="4" fillId="0" borderId="9" xfId="20" applyNumberFormat="1" applyFont="1" applyBorder="1" applyAlignment="1">
      <alignment horizontal="centerContinuous"/>
      <protection/>
    </xf>
    <xf numFmtId="0" fontId="4" fillId="0" borderId="9" xfId="20" applyFont="1" applyBorder="1" applyAlignment="1">
      <alignment horizontal="centerContinuous"/>
      <protection/>
    </xf>
    <xf numFmtId="3" fontId="3" fillId="0" borderId="7" xfId="32" applyNumberFormat="1" applyFont="1" applyFill="1" applyBorder="1" applyAlignment="1">
      <alignment horizontal="centerContinuous"/>
    </xf>
    <xf numFmtId="0" fontId="4" fillId="0" borderId="9" xfId="20" applyFont="1" applyFill="1" applyBorder="1" applyAlignment="1">
      <alignment horizontal="centerContinuous"/>
      <protection/>
    </xf>
    <xf numFmtId="3" fontId="3" fillId="0" borderId="2" xfId="32" applyNumberFormat="1" applyFont="1" applyBorder="1" applyAlignment="1">
      <alignment horizontal="right"/>
    </xf>
    <xf numFmtId="3" fontId="3" fillId="0" borderId="2" xfId="32" applyNumberFormat="1" applyFont="1" applyFill="1" applyBorder="1" applyAlignment="1">
      <alignment horizontal="right"/>
    </xf>
    <xf numFmtId="3" fontId="4" fillId="0" borderId="2" xfId="20" applyNumberFormat="1" applyFont="1" applyBorder="1">
      <alignment/>
      <protection/>
    </xf>
    <xf numFmtId="0" fontId="4" fillId="0" borderId="0" xfId="20" applyFont="1" applyBorder="1">
      <alignment/>
      <protection/>
    </xf>
    <xf numFmtId="0" fontId="3" fillId="0" borderId="1" xfId="20" applyFont="1" applyFill="1" applyBorder="1" applyAlignment="1">
      <alignment horizontal="centerContinuous"/>
      <protection/>
    </xf>
    <xf numFmtId="0" fontId="4" fillId="0" borderId="0" xfId="20" applyFont="1" applyFill="1" applyBorder="1" applyAlignment="1">
      <alignment horizontal="centerContinuous"/>
      <protection/>
    </xf>
    <xf numFmtId="3" fontId="4" fillId="0" borderId="10" xfId="20" applyNumberFormat="1" applyFont="1" applyBorder="1" applyAlignment="1">
      <alignment horizontal="centerContinuous"/>
      <protection/>
    </xf>
    <xf numFmtId="0" fontId="4" fillId="0" borderId="10" xfId="20" applyFont="1" applyBorder="1" applyAlignment="1">
      <alignment horizontal="centerContinuous"/>
      <protection/>
    </xf>
    <xf numFmtId="0" fontId="4" fillId="0" borderId="10" xfId="20" applyFont="1" applyFill="1" applyBorder="1" applyAlignment="1">
      <alignment horizontal="centerContinuous"/>
      <protection/>
    </xf>
    <xf numFmtId="3" fontId="3" fillId="0" borderId="3" xfId="32" applyNumberFormat="1" applyFont="1" applyBorder="1" applyAlignment="1">
      <alignment horizontal="right"/>
    </xf>
    <xf numFmtId="3" fontId="3" fillId="0" borderId="3" xfId="32" applyNumberFormat="1" applyFont="1" applyFill="1" applyBorder="1" applyAlignment="1">
      <alignment horizontal="right"/>
    </xf>
    <xf numFmtId="3" fontId="4" fillId="0" borderId="3" xfId="20" applyNumberFormat="1" applyFont="1" applyBorder="1">
      <alignment/>
      <protection/>
    </xf>
    <xf numFmtId="0" fontId="4" fillId="0" borderId="0" xfId="20" applyFont="1" applyAlignment="1">
      <alignment horizontal="left"/>
      <protection/>
    </xf>
    <xf numFmtId="0" fontId="3" fillId="0" borderId="1" xfId="20" applyFont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3" fontId="4" fillId="0" borderId="10" xfId="20" applyNumberFormat="1" applyFont="1" applyBorder="1" applyAlignment="1">
      <alignment horizontal="right"/>
      <protection/>
    </xf>
    <xf numFmtId="0" fontId="3" fillId="0" borderId="1" xfId="20" applyFont="1" applyBorder="1" applyAlignment="1">
      <alignment horizontal="centerContinuous"/>
      <protection/>
    </xf>
    <xf numFmtId="0" fontId="3" fillId="0" borderId="4" xfId="20" applyFont="1" applyBorder="1" applyAlignment="1">
      <alignment horizontal="right"/>
      <protection/>
    </xf>
    <xf numFmtId="0" fontId="3" fillId="0" borderId="5" xfId="20" applyFont="1" applyFill="1" applyBorder="1" applyAlignment="1">
      <alignment horizontal="right"/>
      <protection/>
    </xf>
    <xf numFmtId="3" fontId="37" fillId="0" borderId="11" xfId="20" applyNumberFormat="1" applyFont="1" applyBorder="1" applyAlignment="1" quotePrefix="1">
      <alignment horizontal="right"/>
      <protection/>
    </xf>
    <xf numFmtId="0" fontId="3" fillId="0" borderId="4" xfId="20" applyFont="1" applyBorder="1" applyAlignment="1">
      <alignment horizontal="center"/>
      <protection/>
    </xf>
    <xf numFmtId="0" fontId="3" fillId="0" borderId="11" xfId="20" applyFont="1" applyBorder="1">
      <alignment/>
      <protection/>
    </xf>
    <xf numFmtId="0" fontId="3" fillId="0" borderId="4" xfId="20" applyFont="1" applyFill="1" applyBorder="1" applyAlignment="1">
      <alignment horizontal="center"/>
      <protection/>
    </xf>
    <xf numFmtId="0" fontId="3" fillId="0" borderId="11" xfId="20" applyFont="1" applyFill="1" applyBorder="1">
      <alignment/>
      <protection/>
    </xf>
    <xf numFmtId="0" fontId="3" fillId="0" borderId="6" xfId="20" applyFont="1" applyBorder="1" applyAlignment="1">
      <alignment horizontal="center"/>
      <protection/>
    </xf>
    <xf numFmtId="0" fontId="3" fillId="0" borderId="6" xfId="20" applyFont="1" applyFill="1" applyBorder="1" applyAlignment="1">
      <alignment horizontal="right"/>
      <protection/>
    </xf>
    <xf numFmtId="3" fontId="3" fillId="0" borderId="6" xfId="20" applyNumberFormat="1" applyFont="1" applyBorder="1" applyAlignment="1" quotePrefix="1">
      <alignment horizontal="right"/>
      <protection/>
    </xf>
    <xf numFmtId="0" fontId="3" fillId="0" borderId="0" xfId="20" applyFont="1" applyBorder="1" applyAlignment="1" quotePrefix="1">
      <alignment horizontal="center"/>
      <protection/>
    </xf>
    <xf numFmtId="4" fontId="4" fillId="0" borderId="0" xfId="20" applyNumberFormat="1" applyFont="1" applyFill="1" applyAlignment="1">
      <alignment horizontal="center"/>
      <protection/>
    </xf>
    <xf numFmtId="0" fontId="4" fillId="0" borderId="0" xfId="20" applyFont="1" applyFill="1" applyAlignment="1">
      <alignment horizontal="center"/>
      <protection/>
    </xf>
    <xf numFmtId="3" fontId="7" fillId="0" borderId="10" xfId="20" applyNumberFormat="1" applyFont="1" applyBorder="1">
      <alignment/>
      <protection/>
    </xf>
    <xf numFmtId="0" fontId="4" fillId="0" borderId="10" xfId="20" applyFont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0" xfId="20" applyFont="1" applyFill="1" applyBorder="1">
      <alignment/>
      <protection/>
    </xf>
    <xf numFmtId="3" fontId="4" fillId="0" borderId="10" xfId="20" applyNumberFormat="1" applyFont="1" applyBorder="1">
      <alignment/>
      <protection/>
    </xf>
    <xf numFmtId="3" fontId="4" fillId="0" borderId="0" xfId="32" applyNumberFormat="1" applyFont="1" applyBorder="1" applyAlignment="1">
      <alignment/>
    </xf>
    <xf numFmtId="3" fontId="4" fillId="0" borderId="0" xfId="32" applyNumberFormat="1" applyFont="1" applyFill="1" applyBorder="1" applyAlignment="1">
      <alignment/>
    </xf>
    <xf numFmtId="3" fontId="7" fillId="0" borderId="10" xfId="28" applyNumberFormat="1" applyFont="1" applyBorder="1" applyAlignment="1">
      <alignment horizontal="right"/>
    </xf>
    <xf numFmtId="3" fontId="4" fillId="0" borderId="0" xfId="20" applyNumberFormat="1" applyFont="1" applyFill="1">
      <alignment/>
      <protection/>
    </xf>
    <xf numFmtId="3" fontId="4" fillId="0" borderId="10" xfId="20" applyNumberFormat="1" applyFont="1" applyFill="1" applyBorder="1">
      <alignment/>
      <protection/>
    </xf>
    <xf numFmtId="3" fontId="4" fillId="0" borderId="0" xfId="20" applyNumberFormat="1" applyFont="1" applyBorder="1">
      <alignment/>
      <protection/>
    </xf>
    <xf numFmtId="4" fontId="4" fillId="0" borderId="0" xfId="20" applyNumberFormat="1" applyFont="1">
      <alignment/>
      <protection/>
    </xf>
    <xf numFmtId="0" fontId="3" fillId="0" borderId="5" xfId="20" applyFont="1" applyBorder="1" applyAlignment="1">
      <alignment horizontal="right"/>
      <protection/>
    </xf>
    <xf numFmtId="3" fontId="3" fillId="0" borderId="5" xfId="32" applyNumberFormat="1" applyFont="1" applyBorder="1" applyAlignment="1">
      <alignment/>
    </xf>
    <xf numFmtId="3" fontId="3" fillId="0" borderId="5" xfId="32" applyNumberFormat="1" applyFont="1" applyFill="1" applyBorder="1" applyAlignment="1">
      <alignment/>
    </xf>
    <xf numFmtId="3" fontId="37" fillId="0" borderId="11" xfId="28" applyNumberFormat="1" applyFont="1" applyBorder="1" applyAlignment="1">
      <alignment/>
    </xf>
    <xf numFmtId="3" fontId="3" fillId="0" borderId="11" xfId="32" applyNumberFormat="1" applyFont="1" applyBorder="1" applyAlignment="1">
      <alignment/>
    </xf>
    <xf numFmtId="3" fontId="3" fillId="0" borderId="11" xfId="32" applyNumberFormat="1" applyFont="1" applyFill="1" applyBorder="1" applyAlignment="1">
      <alignment/>
    </xf>
    <xf numFmtId="3" fontId="3" fillId="0" borderId="11" xfId="28" applyNumberFormat="1" applyFont="1" applyBorder="1" applyAlignment="1">
      <alignment/>
    </xf>
    <xf numFmtId="3" fontId="3" fillId="0" borderId="0" xfId="20" applyNumberFormat="1" applyFont="1" applyBorder="1">
      <alignment/>
      <protection/>
    </xf>
    <xf numFmtId="4" fontId="3" fillId="0" borderId="0" xfId="20" applyNumberFormat="1" applyFont="1" applyFill="1">
      <alignment/>
      <protection/>
    </xf>
    <xf numFmtId="3" fontId="7" fillId="0" borderId="0" xfId="20" applyNumberFormat="1" applyFont="1" applyAlignment="1">
      <alignment horizontal="right"/>
      <protection/>
    </xf>
    <xf numFmtId="3" fontId="7" fillId="0" borderId="10" xfId="28" applyNumberFormat="1" applyFont="1" applyBorder="1" applyAlignment="1" quotePrefix="1">
      <alignment horizontal="right"/>
    </xf>
    <xf numFmtId="3" fontId="3" fillId="0" borderId="0" xfId="32" applyNumberFormat="1" applyFont="1" applyBorder="1" applyAlignment="1">
      <alignment/>
    </xf>
    <xf numFmtId="0" fontId="4" fillId="0" borderId="0" xfId="20" applyFont="1" applyBorder="1" applyAlignment="1">
      <alignment horizontal="left"/>
      <protection/>
    </xf>
    <xf numFmtId="3" fontId="7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Fill="1" applyBorder="1">
      <alignment/>
      <protection/>
    </xf>
    <xf numFmtId="3" fontId="31" fillId="0" borderId="0" xfId="32" applyNumberFormat="1" applyFont="1" applyBorder="1" applyAlignment="1">
      <alignment/>
    </xf>
    <xf numFmtId="3" fontId="31" fillId="0" borderId="0" xfId="32" applyNumberFormat="1" applyFont="1" applyFill="1" applyBorder="1" applyAlignment="1">
      <alignment/>
    </xf>
    <xf numFmtId="3" fontId="38" fillId="0" borderId="10" xfId="28" applyNumberFormat="1" applyFont="1" applyBorder="1" applyAlignment="1">
      <alignment horizontal="right"/>
    </xf>
    <xf numFmtId="3" fontId="31" fillId="0" borderId="10" xfId="20" applyNumberFormat="1" applyFont="1" applyBorder="1">
      <alignment/>
      <protection/>
    </xf>
    <xf numFmtId="3" fontId="31" fillId="0" borderId="0" xfId="20" applyNumberFormat="1" applyFont="1" applyFill="1">
      <alignment/>
      <protection/>
    </xf>
    <xf numFmtId="3" fontId="31" fillId="0" borderId="3" xfId="20" applyNumberFormat="1" applyFont="1" applyBorder="1">
      <alignment/>
      <protection/>
    </xf>
    <xf numFmtId="3" fontId="31" fillId="0" borderId="10" xfId="20" applyNumberFormat="1" applyFont="1" applyFill="1" applyBorder="1">
      <alignment/>
      <protection/>
    </xf>
    <xf numFmtId="3" fontId="31" fillId="0" borderId="0" xfId="20" applyNumberFormat="1" applyFont="1" applyBorder="1">
      <alignment/>
      <protection/>
    </xf>
    <xf numFmtId="4" fontId="31" fillId="0" borderId="0" xfId="20" applyNumberFormat="1" applyFont="1" applyFill="1">
      <alignment/>
      <protection/>
    </xf>
    <xf numFmtId="0" fontId="31" fillId="0" borderId="0" xfId="20" applyFont="1">
      <alignment/>
      <protection/>
    </xf>
    <xf numFmtId="3" fontId="3" fillId="0" borderId="5" xfId="20" applyNumberFormat="1" applyFont="1" applyBorder="1">
      <alignment/>
      <protection/>
    </xf>
    <xf numFmtId="3" fontId="3" fillId="0" borderId="5" xfId="20" applyNumberFormat="1" applyFont="1" applyFill="1" applyBorder="1">
      <alignment/>
      <protection/>
    </xf>
    <xf numFmtId="3" fontId="3" fillId="0" borderId="6" xfId="20" applyNumberFormat="1" applyFont="1" applyBorder="1">
      <alignment/>
      <protection/>
    </xf>
    <xf numFmtId="3" fontId="3" fillId="0" borderId="11" xfId="20" applyNumberFormat="1" applyFont="1" applyFill="1" applyBorder="1">
      <alignment/>
      <protection/>
    </xf>
    <xf numFmtId="0" fontId="3" fillId="0" borderId="5" xfId="20" applyFont="1" applyBorder="1" applyAlignment="1">
      <alignment horizontal="left"/>
      <protection/>
    </xf>
    <xf numFmtId="3" fontId="3" fillId="0" borderId="4" xfId="20" applyNumberFormat="1" applyFont="1" applyBorder="1">
      <alignment/>
      <protection/>
    </xf>
    <xf numFmtId="3" fontId="3" fillId="0" borderId="11" xfId="20" applyNumberFormat="1" applyFont="1" applyBorder="1">
      <alignment/>
      <protection/>
    </xf>
    <xf numFmtId="3" fontId="3" fillId="0" borderId="12" xfId="20" applyNumberFormat="1" applyFont="1" applyBorder="1">
      <alignment/>
      <protection/>
    </xf>
    <xf numFmtId="3" fontId="3" fillId="0" borderId="6" xfId="28" applyNumberFormat="1" applyFont="1" applyBorder="1" applyAlignment="1">
      <alignment/>
    </xf>
    <xf numFmtId="3" fontId="3" fillId="0" borderId="0" xfId="20" applyNumberFormat="1" applyFont="1" applyFill="1" applyBorder="1">
      <alignment/>
      <protection/>
    </xf>
    <xf numFmtId="3" fontId="37" fillId="0" borderId="11" xfId="28" applyNumberFormat="1" applyFont="1" applyBorder="1" applyAlignment="1">
      <alignment horizontal="right"/>
    </xf>
    <xf numFmtId="0" fontId="3" fillId="0" borderId="0" xfId="20" applyFont="1" applyBorder="1" applyAlignment="1">
      <alignment horizontal="right"/>
      <protection/>
    </xf>
    <xf numFmtId="3" fontId="3" fillId="0" borderId="0" xfId="32" applyNumberFormat="1" applyFont="1" applyFill="1" applyBorder="1" applyAlignment="1">
      <alignment/>
    </xf>
    <xf numFmtId="0" fontId="4" fillId="0" borderId="8" xfId="20" applyFont="1" applyBorder="1">
      <alignment/>
      <protection/>
    </xf>
    <xf numFmtId="0" fontId="4" fillId="0" borderId="8" xfId="20" applyFont="1" applyFill="1" applyBorder="1">
      <alignment/>
      <protection/>
    </xf>
    <xf numFmtId="3" fontId="4" fillId="0" borderId="8" xfId="20" applyNumberFormat="1" applyFont="1" applyFill="1" applyBorder="1">
      <alignment/>
      <protection/>
    </xf>
    <xf numFmtId="3" fontId="4" fillId="0" borderId="9" xfId="20" applyNumberFormat="1" applyFont="1" applyBorder="1">
      <alignment/>
      <protection/>
    </xf>
    <xf numFmtId="0" fontId="4" fillId="0" borderId="16" xfId="20" applyFont="1" applyFill="1" applyBorder="1">
      <alignment/>
      <protection/>
    </xf>
    <xf numFmtId="0" fontId="4" fillId="0" borderId="5" xfId="20" applyFont="1" applyBorder="1">
      <alignment/>
      <protection/>
    </xf>
    <xf numFmtId="0" fontId="4" fillId="0" borderId="5" xfId="20" applyFont="1" applyFill="1" applyBorder="1">
      <alignment/>
      <protection/>
    </xf>
    <xf numFmtId="3" fontId="3" fillId="0" borderId="4" xfId="32" applyNumberFormat="1" applyFont="1" applyBorder="1" applyAlignment="1">
      <alignment/>
    </xf>
    <xf numFmtId="3" fontId="4" fillId="0" borderId="1" xfId="20" applyNumberFormat="1" applyFont="1" applyBorder="1">
      <alignment/>
      <protection/>
    </xf>
    <xf numFmtId="3" fontId="7" fillId="0" borderId="11" xfId="28" applyNumberFormat="1" applyFont="1" applyBorder="1" applyAlignment="1">
      <alignment/>
    </xf>
    <xf numFmtId="3" fontId="37" fillId="0" borderId="5" xfId="20" applyNumberFormat="1" applyFont="1" applyBorder="1" applyAlignment="1">
      <alignment horizontal="right"/>
      <protection/>
    </xf>
    <xf numFmtId="0" fontId="3" fillId="0" borderId="12" xfId="20" applyFont="1" applyBorder="1" applyAlignment="1">
      <alignment horizontal="left"/>
      <protection/>
    </xf>
    <xf numFmtId="3" fontId="3" fillId="0" borderId="12" xfId="20" applyNumberFormat="1" applyFont="1" applyFill="1" applyBorder="1">
      <alignment/>
      <protection/>
    </xf>
    <xf numFmtId="0" fontId="4" fillId="0" borderId="12" xfId="20" applyFont="1" applyBorder="1">
      <alignment/>
      <protection/>
    </xf>
    <xf numFmtId="0" fontId="4" fillId="0" borderId="12" xfId="20" applyFont="1" applyFill="1" applyBorder="1">
      <alignment/>
      <protection/>
    </xf>
    <xf numFmtId="3" fontId="3" fillId="0" borderId="14" xfId="20" applyNumberFormat="1" applyFont="1" applyBorder="1">
      <alignment/>
      <protection/>
    </xf>
    <xf numFmtId="3" fontId="3" fillId="0" borderId="15" xfId="20" applyNumberFormat="1" applyFont="1" applyFill="1" applyBorder="1">
      <alignment/>
      <protection/>
    </xf>
    <xf numFmtId="0" fontId="8" fillId="0" borderId="0" xfId="20" applyFont="1" applyAlignment="1">
      <alignment horizontal="left"/>
      <protection/>
    </xf>
    <xf numFmtId="0" fontId="8" fillId="0" borderId="0" xfId="20" applyFont="1" applyBorder="1" applyAlignment="1">
      <alignment horizontal="right"/>
      <protection/>
    </xf>
    <xf numFmtId="0" fontId="8" fillId="0" borderId="0" xfId="20" applyFont="1" applyFill="1" applyBorder="1" applyAlignment="1">
      <alignment horizontal="right"/>
      <protection/>
    </xf>
    <xf numFmtId="3" fontId="3" fillId="0" borderId="0" xfId="20" applyNumberFormat="1" applyFont="1" applyAlignment="1" quotePrefix="1">
      <alignment horizontal="right"/>
      <protection/>
    </xf>
    <xf numFmtId="0" fontId="4" fillId="0" borderId="0" xfId="0" applyFont="1" applyAlignment="1" quotePrefix="1">
      <alignment/>
    </xf>
    <xf numFmtId="0" fontId="4" fillId="0" borderId="0" xfId="20" applyFont="1" applyAlignment="1" quotePrefix="1">
      <alignment horizontal="right"/>
      <protection/>
    </xf>
    <xf numFmtId="3" fontId="4" fillId="0" borderId="0" xfId="28" applyNumberFormat="1" applyFont="1" applyAlignment="1">
      <alignment/>
    </xf>
    <xf numFmtId="9" fontId="4" fillId="0" borderId="0" xfId="28" applyNumberFormat="1" applyFont="1" applyAlignment="1">
      <alignment/>
    </xf>
    <xf numFmtId="0" fontId="9" fillId="0" borderId="0" xfId="20" applyFont="1" applyAlignment="1">
      <alignment horizontal="left"/>
      <protection/>
    </xf>
    <xf numFmtId="3" fontId="9" fillId="0" borderId="0" xfId="20" applyNumberFormat="1" applyFont="1" applyFill="1">
      <alignment/>
      <protection/>
    </xf>
    <xf numFmtId="3" fontId="9" fillId="0" borderId="0" xfId="28" applyNumberFormat="1" applyFont="1" applyAlignment="1">
      <alignment/>
    </xf>
    <xf numFmtId="9" fontId="9" fillId="0" borderId="0" xfId="28" applyNumberFormat="1" applyFont="1" applyAlignment="1">
      <alignment/>
    </xf>
    <xf numFmtId="3" fontId="9" fillId="0" borderId="0" xfId="20" applyNumberFormat="1" applyFont="1">
      <alignment/>
      <protection/>
    </xf>
    <xf numFmtId="3" fontId="9" fillId="0" borderId="0" xfId="20" applyNumberFormat="1" applyFont="1" applyAlignment="1">
      <alignment horizontal="right"/>
      <protection/>
    </xf>
    <xf numFmtId="3" fontId="3" fillId="0" borderId="0" xfId="20" applyNumberFormat="1" applyFont="1">
      <alignment/>
      <protection/>
    </xf>
    <xf numFmtId="3" fontId="3" fillId="0" borderId="0" xfId="20" applyNumberFormat="1" applyFont="1" applyFill="1">
      <alignment/>
      <protection/>
    </xf>
    <xf numFmtId="3" fontId="3" fillId="0" borderId="0" xfId="28" applyNumberFormat="1" applyFont="1" applyAlignment="1">
      <alignment/>
    </xf>
    <xf numFmtId="3" fontId="3" fillId="0" borderId="0" xfId="20" applyNumberFormat="1" applyFont="1" applyAlignment="1">
      <alignment horizontal="right"/>
      <protection/>
    </xf>
    <xf numFmtId="181" fontId="4" fillId="0" borderId="0" xfId="20" applyNumberFormat="1" applyFont="1" applyFill="1">
      <alignment/>
      <protection/>
    </xf>
    <xf numFmtId="4" fontId="4" fillId="0" borderId="17" xfId="20" applyNumberFormat="1" applyFont="1" applyFill="1" applyBorder="1">
      <alignment/>
      <protection/>
    </xf>
    <xf numFmtId="3" fontId="4" fillId="9" borderId="0" xfId="32" applyNumberFormat="1" applyFont="1" applyFill="1" applyBorder="1" applyAlignment="1">
      <alignment/>
    </xf>
    <xf numFmtId="3" fontId="7" fillId="9" borderId="10" xfId="28" applyNumberFormat="1" applyFont="1" applyFill="1" applyBorder="1" applyAlignment="1">
      <alignment horizontal="right"/>
    </xf>
    <xf numFmtId="3" fontId="4" fillId="9" borderId="0" xfId="20" applyNumberFormat="1" applyFont="1" applyFill="1">
      <alignment/>
      <protection/>
    </xf>
    <xf numFmtId="3" fontId="4" fillId="9" borderId="10" xfId="20" applyNumberFormat="1" applyFont="1" applyFill="1" applyBorder="1">
      <alignment/>
      <protection/>
    </xf>
    <xf numFmtId="3" fontId="7" fillId="9" borderId="10" xfId="28" applyNumberFormat="1" applyFont="1" applyFill="1" applyBorder="1" applyAlignment="1" quotePrefix="1">
      <alignment horizontal="right"/>
    </xf>
    <xf numFmtId="3" fontId="4" fillId="9" borderId="3" xfId="20" applyNumberFormat="1" applyFont="1" applyFill="1" applyBorder="1">
      <alignment/>
      <protection/>
    </xf>
    <xf numFmtId="3" fontId="4" fillId="4" borderId="10" xfId="20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4" fillId="5" borderId="18" xfId="21" applyFont="1" applyFill="1" applyBorder="1">
      <alignment/>
      <protection/>
    </xf>
    <xf numFmtId="0" fontId="4" fillId="5" borderId="19" xfId="21" applyFont="1" applyFill="1" applyBorder="1">
      <alignment/>
      <protection/>
    </xf>
    <xf numFmtId="3" fontId="4" fillId="5" borderId="20" xfId="21" applyNumberFormat="1" applyFont="1" applyFill="1" applyBorder="1">
      <alignment/>
      <protection/>
    </xf>
    <xf numFmtId="0" fontId="3" fillId="5" borderId="19" xfId="21" applyFont="1" applyFill="1" applyBorder="1">
      <alignment/>
      <protection/>
    </xf>
    <xf numFmtId="3" fontId="3" fillId="5" borderId="20" xfId="21" applyNumberFormat="1" applyFont="1" applyFill="1" applyBorder="1">
      <alignment/>
      <protection/>
    </xf>
    <xf numFmtId="0" fontId="0" fillId="0" borderId="0" xfId="0" applyBorder="1" applyAlignment="1">
      <alignment/>
    </xf>
    <xf numFmtId="3" fontId="10" fillId="0" borderId="0" xfId="25" applyNumberFormat="1" applyFont="1" applyFill="1" applyBorder="1" applyAlignment="1">
      <alignment horizontal="right"/>
      <protection/>
    </xf>
    <xf numFmtId="3" fontId="10" fillId="0" borderId="7" xfId="25" applyNumberFormat="1" applyFont="1" applyBorder="1" applyAlignment="1">
      <alignment horizontal="left"/>
      <protection/>
    </xf>
    <xf numFmtId="3" fontId="10" fillId="0" borderId="8" xfId="25" applyNumberFormat="1" applyFont="1" applyFill="1" applyBorder="1" applyAlignment="1">
      <alignment horizontal="right"/>
      <protection/>
    </xf>
    <xf numFmtId="3" fontId="10" fillId="0" borderId="9" xfId="25" applyNumberFormat="1" applyFont="1" applyBorder="1" applyAlignment="1">
      <alignment horizontal="center"/>
      <protection/>
    </xf>
    <xf numFmtId="3" fontId="10" fillId="0" borderId="10" xfId="25" applyNumberFormat="1" applyFont="1" applyBorder="1" applyAlignment="1">
      <alignment horizontal="center"/>
      <protection/>
    </xf>
    <xf numFmtId="3" fontId="10" fillId="0" borderId="11" xfId="25" applyNumberFormat="1" applyFont="1" applyBorder="1" applyAlignment="1">
      <alignment horizontal="center"/>
      <protection/>
    </xf>
    <xf numFmtId="3" fontId="11" fillId="0" borderId="0" xfId="24" applyNumberFormat="1" applyFont="1">
      <alignment/>
      <protection/>
    </xf>
    <xf numFmtId="0" fontId="3" fillId="0" borderId="0" xfId="20" applyFont="1" applyFill="1">
      <alignment/>
      <protection/>
    </xf>
    <xf numFmtId="0" fontId="4" fillId="9" borderId="0" xfId="20" applyFont="1" applyFill="1" applyBorder="1" applyAlignment="1">
      <alignment horizontal="left"/>
      <protection/>
    </xf>
    <xf numFmtId="4" fontId="3" fillId="0" borderId="0" xfId="20" applyNumberFormat="1" applyFont="1">
      <alignment/>
      <protection/>
    </xf>
    <xf numFmtId="0" fontId="31" fillId="0" borderId="0" xfId="20" applyFont="1" applyBorder="1" applyAlignment="1">
      <alignment horizontal="left"/>
      <protection/>
    </xf>
    <xf numFmtId="0" fontId="9" fillId="0" borderId="0" xfId="20" applyFont="1" applyFill="1" applyBorder="1">
      <alignment/>
      <protection/>
    </xf>
    <xf numFmtId="4" fontId="4" fillId="0" borderId="0" xfId="20" applyNumberFormat="1" applyFont="1" applyFill="1" applyBorder="1">
      <alignment/>
      <protection/>
    </xf>
    <xf numFmtId="0" fontId="4" fillId="0" borderId="1" xfId="20" applyFont="1" applyBorder="1">
      <alignment/>
      <protection/>
    </xf>
    <xf numFmtId="0" fontId="9" fillId="0" borderId="0" xfId="20" applyFont="1" applyBorder="1">
      <alignment/>
      <protection/>
    </xf>
    <xf numFmtId="0" fontId="4" fillId="0" borderId="21" xfId="20" applyFont="1" applyBorder="1">
      <alignment/>
      <protection/>
    </xf>
    <xf numFmtId="4" fontId="4" fillId="0" borderId="22" xfId="20" applyNumberFormat="1" applyFont="1" applyBorder="1">
      <alignment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3" fontId="45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9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5" borderId="0" xfId="0" applyFont="1" applyFill="1" applyBorder="1" applyAlignment="1">
      <alignment/>
    </xf>
    <xf numFmtId="180" fontId="23" fillId="0" borderId="0" xfId="22" applyNumberFormat="1" applyFont="1" applyBorder="1" applyAlignment="1">
      <alignment horizontal="right"/>
      <protection/>
    </xf>
    <xf numFmtId="0" fontId="23" fillId="0" borderId="0" xfId="22" applyFont="1" applyBorder="1">
      <alignment/>
      <protection/>
    </xf>
    <xf numFmtId="3" fontId="23" fillId="0" borderId="0" xfId="22" applyNumberFormat="1" applyFont="1" applyFill="1" applyBorder="1" applyAlignment="1">
      <alignment horizontal="center"/>
      <protection/>
    </xf>
    <xf numFmtId="181" fontId="23" fillId="0" borderId="0" xfId="22" applyNumberFormat="1" applyFont="1" applyBorder="1" applyAlignment="1">
      <alignment horizontal="centerContinuous"/>
      <protection/>
    </xf>
    <xf numFmtId="0" fontId="23" fillId="0" borderId="0" xfId="22" applyFont="1" applyBorder="1" applyAlignment="1">
      <alignment horizontal="centerContinuous"/>
      <protection/>
    </xf>
    <xf numFmtId="0" fontId="23" fillId="0" borderId="0" xfId="22" applyFont="1" applyFill="1" applyBorder="1" applyAlignment="1">
      <alignment horizontal="left"/>
      <protection/>
    </xf>
    <xf numFmtId="0" fontId="23" fillId="3" borderId="0" xfId="22" applyFont="1" applyFill="1" applyBorder="1" applyAlignment="1">
      <alignment horizontal="left"/>
      <protection/>
    </xf>
    <xf numFmtId="0" fontId="18" fillId="0" borderId="0" xfId="22" applyFont="1" applyBorder="1">
      <alignment/>
      <protection/>
    </xf>
    <xf numFmtId="3" fontId="18" fillId="0" borderId="5" xfId="22" applyNumberFormat="1" applyFont="1" applyFill="1" applyBorder="1" applyAlignment="1">
      <alignment/>
      <protection/>
    </xf>
    <xf numFmtId="3" fontId="23" fillId="0" borderId="5" xfId="22" applyNumberFormat="1" applyFont="1" applyBorder="1" applyAlignment="1">
      <alignment horizontal="right"/>
      <protection/>
    </xf>
    <xf numFmtId="0" fontId="23" fillId="0" borderId="5" xfId="22" applyFont="1" applyBorder="1" applyAlignment="1">
      <alignment horizontal="right"/>
      <protection/>
    </xf>
    <xf numFmtId="0" fontId="18" fillId="0" borderId="5" xfId="0" applyFont="1" applyBorder="1" applyAlignment="1">
      <alignment/>
    </xf>
    <xf numFmtId="0" fontId="18" fillId="3" borderId="5" xfId="0" applyFont="1" applyFill="1" applyBorder="1" applyAlignment="1">
      <alignment/>
    </xf>
    <xf numFmtId="0" fontId="18" fillId="0" borderId="7" xfId="22" applyFont="1" applyBorder="1">
      <alignment/>
      <protection/>
    </xf>
    <xf numFmtId="3" fontId="18" fillId="2" borderId="8" xfId="22" applyNumberFormat="1" applyFont="1" applyFill="1" applyBorder="1" applyAlignment="1" quotePrefix="1">
      <alignment/>
      <protection/>
    </xf>
    <xf numFmtId="3" fontId="18" fillId="2" borderId="9" xfId="22" applyNumberFormat="1" applyFont="1" applyFill="1" applyBorder="1" applyAlignment="1" quotePrefix="1">
      <alignment/>
      <protection/>
    </xf>
    <xf numFmtId="0" fontId="18" fillId="0" borderId="1" xfId="22" applyFont="1" applyBorder="1">
      <alignment/>
      <protection/>
    </xf>
    <xf numFmtId="3" fontId="18" fillId="2" borderId="0" xfId="22" applyNumberFormat="1" applyFont="1" applyFill="1" applyBorder="1" applyAlignment="1">
      <alignment/>
      <protection/>
    </xf>
    <xf numFmtId="3" fontId="18" fillId="2" borderId="3" xfId="22" applyNumberFormat="1" applyFont="1" applyFill="1" applyBorder="1" applyAlignment="1" quotePrefix="1">
      <alignment/>
      <protection/>
    </xf>
    <xf numFmtId="3" fontId="18" fillId="2" borderId="0" xfId="22" applyNumberFormat="1" applyFont="1" applyFill="1" applyBorder="1" applyAlignment="1" quotePrefix="1">
      <alignment/>
      <protection/>
    </xf>
    <xf numFmtId="0" fontId="23" fillId="0" borderId="1" xfId="22" applyFont="1" applyBorder="1">
      <alignment/>
      <protection/>
    </xf>
    <xf numFmtId="3" fontId="23" fillId="2" borderId="0" xfId="22" applyNumberFormat="1" applyFont="1" applyFill="1" applyBorder="1" applyAlignment="1">
      <alignment/>
      <protection/>
    </xf>
    <xf numFmtId="3" fontId="23" fillId="2" borderId="3" xfId="22" applyNumberFormat="1" applyFont="1" applyFill="1" applyBorder="1" applyAlignment="1">
      <alignment/>
      <protection/>
    </xf>
    <xf numFmtId="0" fontId="18" fillId="0" borderId="0" xfId="22" applyFont="1" applyAlignment="1">
      <alignment horizontal="left"/>
      <protection/>
    </xf>
    <xf numFmtId="0" fontId="23" fillId="0" borderId="13" xfId="22" applyFont="1" applyBorder="1">
      <alignment/>
      <protection/>
    </xf>
    <xf numFmtId="181" fontId="23" fillId="3" borderId="14" xfId="22" applyNumberFormat="1" applyFont="1" applyFill="1" applyBorder="1">
      <alignment/>
      <protection/>
    </xf>
    <xf numFmtId="181" fontId="23" fillId="0" borderId="0" xfId="22" applyNumberFormat="1" applyFont="1" applyFill="1" applyBorder="1" applyAlignment="1">
      <alignment/>
      <protection/>
    </xf>
    <xf numFmtId="181" fontId="23" fillId="0" borderId="0" xfId="22" applyNumberFormat="1" applyFont="1" applyBorder="1">
      <alignment/>
      <protection/>
    </xf>
    <xf numFmtId="181" fontId="23" fillId="0" borderId="0" xfId="22" applyNumberFormat="1" applyFont="1" applyFill="1" applyBorder="1">
      <alignment/>
      <protection/>
    </xf>
    <xf numFmtId="181" fontId="23" fillId="3" borderId="0" xfId="22" applyNumberFormat="1" applyFont="1" applyFill="1" applyBorder="1">
      <alignment/>
      <protection/>
    </xf>
    <xf numFmtId="3" fontId="18" fillId="0" borderId="0" xfId="22" applyNumberFormat="1" applyFont="1" applyBorder="1">
      <alignment/>
      <protection/>
    </xf>
    <xf numFmtId="0" fontId="18" fillId="0" borderId="0" xfId="0" applyFont="1" applyAlignment="1">
      <alignment/>
    </xf>
    <xf numFmtId="0" fontId="18" fillId="3" borderId="0" xfId="0" applyFont="1" applyFill="1" applyAlignment="1">
      <alignment/>
    </xf>
    <xf numFmtId="1" fontId="23" fillId="0" borderId="8" xfId="22" applyNumberFormat="1" applyFont="1" applyBorder="1" applyAlignment="1">
      <alignment/>
      <protection/>
    </xf>
    <xf numFmtId="0" fontId="23" fillId="0" borderId="8" xfId="22" applyFont="1" applyBorder="1" applyAlignment="1" quotePrefix="1">
      <alignment horizontal="right"/>
      <protection/>
    </xf>
    <xf numFmtId="0" fontId="23" fillId="0" borderId="9" xfId="22" applyFont="1" applyBorder="1" applyAlignment="1">
      <alignment horizontal="right"/>
      <protection/>
    </xf>
    <xf numFmtId="0" fontId="18" fillId="3" borderId="0" xfId="22" applyFont="1" applyFill="1" applyBorder="1">
      <alignment/>
      <protection/>
    </xf>
    <xf numFmtId="3" fontId="18" fillId="0" borderId="0" xfId="22" applyNumberFormat="1" applyFont="1" applyBorder="1" applyAlignment="1">
      <alignment/>
      <protection/>
    </xf>
    <xf numFmtId="3" fontId="18" fillId="0" borderId="0" xfId="22" applyNumberFormat="1" applyFont="1" applyBorder="1" applyAlignment="1">
      <alignment horizontal="right"/>
      <protection/>
    </xf>
    <xf numFmtId="180" fontId="18" fillId="0" borderId="10" xfId="22" applyNumberFormat="1" applyFont="1" applyBorder="1" applyAlignment="1">
      <alignment horizontal="right"/>
      <protection/>
    </xf>
    <xf numFmtId="0" fontId="18" fillId="0" borderId="4" xfId="22" applyFont="1" applyBorder="1">
      <alignment/>
      <protection/>
    </xf>
    <xf numFmtId="3" fontId="18" fillId="0" borderId="5" xfId="22" applyNumberFormat="1" applyFont="1" applyBorder="1" applyAlignment="1">
      <alignment/>
      <protection/>
    </xf>
    <xf numFmtId="3" fontId="18" fillId="0" borderId="5" xfId="22" applyNumberFormat="1" applyFont="1" applyBorder="1" applyAlignment="1">
      <alignment horizontal="right"/>
      <protection/>
    </xf>
    <xf numFmtId="180" fontId="18" fillId="0" borderId="11" xfId="22" applyNumberFormat="1" applyFont="1" applyBorder="1" applyAlignment="1">
      <alignment horizontal="right"/>
      <protection/>
    </xf>
    <xf numFmtId="3" fontId="18" fillId="2" borderId="10" xfId="22" applyNumberFormat="1" applyFont="1" applyFill="1" applyBorder="1" applyAlignment="1" quotePrefix="1">
      <alignment/>
      <protection/>
    </xf>
    <xf numFmtId="9" fontId="23" fillId="2" borderId="12" xfId="28" applyFont="1" applyFill="1" applyBorder="1" applyAlignment="1">
      <alignment/>
    </xf>
    <xf numFmtId="3" fontId="18" fillId="2" borderId="2" xfId="22" applyNumberFormat="1" applyFont="1" applyFill="1" applyBorder="1" applyAlignment="1" quotePrefix="1">
      <alignment/>
      <protection/>
    </xf>
    <xf numFmtId="3" fontId="11" fillId="2" borderId="5" xfId="25" applyNumberFormat="1" applyFont="1" applyFill="1" applyBorder="1" applyAlignment="1">
      <alignment horizontal="right"/>
      <protection/>
    </xf>
    <xf numFmtId="0" fontId="4" fillId="0" borderId="0" xfId="0" applyFont="1" applyAlignment="1">
      <alignment horizontal="left"/>
    </xf>
    <xf numFmtId="3" fontId="45" fillId="0" borderId="0" xfId="0" applyNumberFormat="1" applyFont="1" applyAlignment="1">
      <alignment horizontal="right"/>
    </xf>
    <xf numFmtId="3" fontId="45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10" borderId="13" xfId="0" applyFont="1" applyFill="1" applyBorder="1" applyAlignment="1">
      <alignment/>
    </xf>
    <xf numFmtId="3" fontId="4" fillId="10" borderId="15" xfId="0" applyNumberFormat="1" applyFont="1" applyFill="1" applyBorder="1" applyAlignment="1">
      <alignment/>
    </xf>
    <xf numFmtId="0" fontId="3" fillId="0" borderId="7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3" fontId="4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10" borderId="12" xfId="0" applyNumberFormat="1" applyFon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1" xfId="25" applyNumberFormat="1" applyFont="1" applyBorder="1" applyAlignment="1">
      <alignment horizontal="left"/>
      <protection/>
    </xf>
    <xf numFmtId="3" fontId="13" fillId="0" borderId="0" xfId="0" applyNumberFormat="1" applyFont="1" applyAlignment="1">
      <alignment/>
    </xf>
    <xf numFmtId="0" fontId="12" fillId="0" borderId="7" xfId="0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4" fillId="0" borderId="1" xfId="26" applyFont="1" applyBorder="1">
      <alignment/>
      <protection/>
    </xf>
    <xf numFmtId="3" fontId="4" fillId="0" borderId="10" xfId="0" applyNumberFormat="1" applyFont="1" applyBorder="1" applyAlignment="1">
      <alignment horizontal="right"/>
    </xf>
    <xf numFmtId="0" fontId="4" fillId="0" borderId="1" xfId="26" applyFont="1" applyBorder="1" applyAlignment="1">
      <alignment/>
      <protection/>
    </xf>
    <xf numFmtId="0" fontId="12" fillId="0" borderId="4" xfId="0" applyFont="1" applyBorder="1" applyAlignment="1">
      <alignment/>
    </xf>
    <xf numFmtId="3" fontId="12" fillId="0" borderId="11" xfId="0" applyNumberFormat="1" applyFont="1" applyBorder="1" applyAlignment="1">
      <alignment horizontal="right"/>
    </xf>
    <xf numFmtId="3" fontId="12" fillId="0" borderId="0" xfId="22" applyNumberFormat="1" applyFont="1" applyFill="1" applyBorder="1">
      <alignment/>
      <protection/>
    </xf>
    <xf numFmtId="3" fontId="12" fillId="0" borderId="0" xfId="0" applyNumberFormat="1" applyFont="1" applyAlignment="1">
      <alignment/>
    </xf>
    <xf numFmtId="3" fontId="12" fillId="0" borderId="9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3" fontId="4" fillId="0" borderId="1" xfId="22" applyNumberFormat="1" applyFont="1" applyFill="1" applyBorder="1">
      <alignment/>
      <protection/>
    </xf>
    <xf numFmtId="3" fontId="4" fillId="0" borderId="1" xfId="0" applyNumberFormat="1" applyFont="1" applyBorder="1" applyAlignment="1">
      <alignment/>
    </xf>
    <xf numFmtId="3" fontId="3" fillId="0" borderId="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3" fontId="12" fillId="0" borderId="11" xfId="0" applyNumberFormat="1" applyFont="1" applyBorder="1" applyAlignment="1">
      <alignment/>
    </xf>
    <xf numFmtId="0" fontId="3" fillId="5" borderId="23" xfId="21" applyFont="1" applyFill="1" applyBorder="1">
      <alignment/>
      <protection/>
    </xf>
    <xf numFmtId="3" fontId="18" fillId="0" borderId="0" xfId="24" applyNumberFormat="1" applyAlignment="1">
      <alignment horizontal="center"/>
      <protection/>
    </xf>
    <xf numFmtId="3" fontId="18" fillId="0" borderId="0" xfId="24" applyNumberFormat="1" applyFont="1" applyAlignment="1">
      <alignment horizontal="center"/>
      <protection/>
    </xf>
    <xf numFmtId="3" fontId="18" fillId="0" borderId="0" xfId="28" applyNumberFormat="1" applyAlignment="1">
      <alignment horizontal="center"/>
    </xf>
    <xf numFmtId="3" fontId="18" fillId="0" borderId="0" xfId="28" applyNumberFormat="1" applyFill="1" applyAlignment="1">
      <alignment horizontal="center"/>
    </xf>
    <xf numFmtId="3" fontId="23" fillId="0" borderId="0" xfId="28" applyNumberFormat="1" applyFont="1" applyAlignment="1">
      <alignment horizontal="center"/>
    </xf>
    <xf numFmtId="0" fontId="18" fillId="0" borderId="0" xfId="24" applyAlignment="1">
      <alignment horizontal="center"/>
      <protection/>
    </xf>
    <xf numFmtId="0" fontId="18" fillId="0" borderId="0" xfId="24" applyFont="1" applyAlignment="1">
      <alignment horizontal="center"/>
      <protection/>
    </xf>
    <xf numFmtId="0" fontId="18" fillId="0" borderId="0" xfId="24" applyFill="1" applyAlignment="1">
      <alignment horizontal="center"/>
      <protection/>
    </xf>
    <xf numFmtId="0" fontId="23" fillId="0" borderId="0" xfId="24" applyFont="1" applyFill="1" applyAlignment="1">
      <alignment horizontal="center"/>
      <protection/>
    </xf>
    <xf numFmtId="194" fontId="23" fillId="0" borderId="0" xfId="24" applyNumberFormat="1" applyFont="1" applyFill="1" applyAlignment="1">
      <alignment horizontal="center"/>
      <protection/>
    </xf>
    <xf numFmtId="0" fontId="23" fillId="0" borderId="0" xfId="24" applyFont="1" applyAlignment="1">
      <alignment horizontal="center"/>
      <protection/>
    </xf>
    <xf numFmtId="0" fontId="24" fillId="0" borderId="0" xfId="24" applyFont="1" applyAlignment="1">
      <alignment horizontal="center"/>
      <protection/>
    </xf>
    <xf numFmtId="3" fontId="18" fillId="0" borderId="0" xfId="24" applyNumberFormat="1" applyFill="1" applyAlignment="1">
      <alignment horizontal="center"/>
      <protection/>
    </xf>
    <xf numFmtId="0" fontId="18" fillId="0" borderId="0" xfId="24" applyBorder="1" applyAlignment="1">
      <alignment horizontal="center"/>
      <protection/>
    </xf>
    <xf numFmtId="0" fontId="23" fillId="0" borderId="0" xfId="24" applyFont="1" applyAlignment="1">
      <alignment horizontal="center"/>
      <protection/>
    </xf>
    <xf numFmtId="3" fontId="7" fillId="0" borderId="1" xfId="22" applyNumberFormat="1" applyFont="1" applyFill="1" applyBorder="1">
      <alignment/>
      <protection/>
    </xf>
    <xf numFmtId="10" fontId="4" fillId="0" borderId="0" xfId="28" applyNumberFormat="1" applyFont="1" applyAlignment="1">
      <alignment/>
    </xf>
    <xf numFmtId="3" fontId="13" fillId="0" borderId="8" xfId="15" applyNumberFormat="1" applyFont="1" applyBorder="1" applyAlignment="1">
      <alignment horizontal="center"/>
    </xf>
    <xf numFmtId="4" fontId="4" fillId="0" borderId="0" xfId="20" applyNumberFormat="1" applyFont="1" applyFill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</cellXfs>
  <cellStyles count="22">
    <cellStyle name="Normal" xfId="0"/>
    <cellStyle name="Comma_Pro2000" xfId="15"/>
    <cellStyle name="Comma_Res apr - 05" xfId="16"/>
    <cellStyle name="Currency_BUdMÖTE.XLS Chart 9" xfId="17"/>
    <cellStyle name="Followed Hyperlink" xfId="18"/>
    <cellStyle name="Hyperlink" xfId="19"/>
    <cellStyle name="Normal_1995 Sammanfattning" xfId="20"/>
    <cellStyle name="Normal_arbetsbudget 2005" xfId="21"/>
    <cellStyle name="Normal_Delprojekt 1996- version 11" xfId="22"/>
    <cellStyle name="Normal_Intäkter 98-1 till styrelsen" xfId="23"/>
    <cellStyle name="Normal_kostnader" xfId="24"/>
    <cellStyle name="Normal_Pro2000" xfId="25"/>
    <cellStyle name="Normal_Res apr - 05" xfId="26"/>
    <cellStyle name="Normal_Version I" xfId="27"/>
    <cellStyle name="Percent" xfId="28"/>
    <cellStyle name="Comma" xfId="29"/>
    <cellStyle name="Tusental (0)_Avskrivningar 94" xfId="30"/>
    <cellStyle name="Comma [0]" xfId="31"/>
    <cellStyle name="Tusental_1995 Sammanfattning" xfId="32"/>
    <cellStyle name="Currency" xfId="33"/>
    <cellStyle name="Valuta (0)_Avskrivningar 94" xfId="34"/>
    <cellStyle name="Currency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                         Sektionens reserver                 Bilaga 5
2001 - 2003</a:t>
            </a:r>
          </a:p>
        </c:rich>
      </c:tx>
      <c:layout>
        <c:manualLayout>
          <c:xMode val="factor"/>
          <c:yMode val="factor"/>
          <c:x val="0.06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825"/>
          <c:w val="0.7685"/>
          <c:h val="0.8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'Reserv bilaga 6'!$A$3</c:f>
              <c:strCache>
                <c:ptCount val="1"/>
                <c:pt idx="0">
                  <c:v>Reserv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6'!$E$2:$G$2</c:f>
            </c:numRef>
          </c:cat>
          <c:val>
            <c:numRef>
              <c:f>'Reserv bilaga 6'!$E$3:$G$3</c:f>
            </c:numRef>
          </c:val>
        </c:ser>
        <c:ser>
          <c:idx val="1"/>
          <c:order val="1"/>
          <c:tx>
            <c:strRef>
              <c:f>'Reserv bilaga 6'!#REF!</c:f>
              <c:strCache>
                <c:ptCount val="1"/>
                <c:pt idx="0">
                  <c:v>#Referens!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6'!$E$2:$G$2</c:f>
            </c:numRef>
          </c:cat>
          <c:val>
            <c:numRef>
              <c:f>'Reserv bilaga 6'!#REF!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'Reserv bilaga 6'!$A$4</c:f>
              <c:strCache>
                <c:ptCount val="1"/>
                <c:pt idx="0">
                  <c:v>Överreserv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6'!$E$2:$G$2</c:f>
            </c:numRef>
          </c:cat>
          <c:val>
            <c:numRef>
              <c:f>'Reserv bilaga 6'!$E$4:$G$4</c:f>
            </c:numRef>
          </c:val>
        </c:ser>
        <c:overlap val="100"/>
        <c:axId val="31733800"/>
        <c:axId val="17168745"/>
      </c:barChart>
      <c:catAx>
        <c:axId val="3173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68745"/>
        <c:crosses val="autoZero"/>
        <c:auto val="1"/>
        <c:lblOffset val="100"/>
        <c:noMultiLvlLbl val="0"/>
      </c:catAx>
      <c:valAx>
        <c:axId val="171687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338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1425"/>
          <c:y val="0.5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Reserver 2003 - 2006
 Bilaga 6</a:t>
            </a:r>
          </a:p>
        </c:rich>
      </c:tx>
      <c:layout>
        <c:manualLayout>
          <c:xMode val="factor"/>
          <c:yMode val="factor"/>
          <c:x val="0.00375"/>
          <c:y val="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23775"/>
          <c:w val="0.6875"/>
          <c:h val="0.7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'Reserv bilaga 6'!$A$10</c:f>
              <c:strCache>
                <c:ptCount val="1"/>
                <c:pt idx="0">
                  <c:v>Budgetbaserad reserv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6'!$B$9:$E$9</c:f>
              <c:numCache/>
            </c:numRef>
          </c:cat>
          <c:val>
            <c:numRef>
              <c:f>'Reserv bilaga 6'!$B$10:$E$10</c:f>
              <c:numCache/>
            </c:numRef>
          </c:val>
        </c:ser>
        <c:ser>
          <c:idx val="1"/>
          <c:order val="1"/>
          <c:tx>
            <c:strRef>
              <c:f>'Reserv bilaga 6'!$A$11</c:f>
              <c:strCache>
                <c:ptCount val="1"/>
                <c:pt idx="0">
                  <c:v>Humanfondsreserv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6'!$B$9:$E$9</c:f>
              <c:numCache/>
            </c:numRef>
          </c:cat>
          <c:val>
            <c:numRef>
              <c:f>'Reserv bilaga 6'!$B$11:$E$11</c:f>
              <c:numCache/>
            </c:numRef>
          </c:val>
        </c:ser>
        <c:ser>
          <c:idx val="2"/>
          <c:order val="2"/>
          <c:tx>
            <c:strRef>
              <c:f>'Reserv bilaga 6'!$A$12</c:f>
              <c:strCache>
                <c:ptCount val="1"/>
                <c:pt idx="0">
                  <c:v>Överreserv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'Reserv bilaga 6'!$B$9:$E$9</c:f>
              <c:numCache/>
            </c:numRef>
          </c:cat>
          <c:val>
            <c:numRef>
              <c:f>'Reserv bilaga 6'!$B$12:$E$12</c:f>
              <c:numCache/>
            </c:numRef>
          </c:val>
        </c:ser>
        <c:overlap val="100"/>
        <c:axId val="20300978"/>
        <c:axId val="48491075"/>
      </c:barChart>
      <c:catAx>
        <c:axId val="2030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91075"/>
        <c:crosses val="autoZero"/>
        <c:auto val="1"/>
        <c:lblOffset val="100"/>
        <c:noMultiLvlLbl val="0"/>
      </c:catAx>
      <c:valAx>
        <c:axId val="484910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009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0"/>
          <a:ext cx="1685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KOSTNADSBUDGET 1992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116</xdr:row>
      <xdr:rowOff>57150</xdr:rowOff>
    </xdr:from>
    <xdr:to>
      <xdr:col>0</xdr:col>
      <xdr:colOff>733425</xdr:colOff>
      <xdr:row>116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18488025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102</xdr:row>
      <xdr:rowOff>0</xdr:rowOff>
    </xdr:from>
    <xdr:to>
      <xdr:col>3</xdr:col>
      <xdr:colOff>4562475</xdr:colOff>
      <xdr:row>111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72125" y="16278225"/>
          <a:ext cx="46291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Om i SFI-rapporten för 2004 intäkterna ökas med 1 425 000 kr (=intäkterna från extrasatsningen) samtidigt som kostnaderna ökas med 970 000 kr (=kostnaderna från extrasatsningen minus Amnestyfondens andel och att 10 % räknas som ändamål) försämras SFI nyckeltalen enligt följande:  
Kostnader/verksamhetsintäkter: +1,5 %
Insamlingskostnader/medel från allmänheten: + 1,8 %
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0.13625</cdr:x>
      <cdr:y>0.3205</cdr:y>
    </cdr:from>
    <cdr:to>
      <cdr:x>0.22525</cdr:x>
      <cdr:y>0.3215</cdr:y>
    </cdr:to>
    <cdr:sp>
      <cdr:nvSpPr>
        <cdr:cNvPr id="1" name="Line 1"/>
        <cdr:cNvSpPr>
          <a:spLocks/>
        </cdr:cNvSpPr>
      </cdr:nvSpPr>
      <cdr:spPr>
        <a:xfrm>
          <a:off x="571500" y="1800225"/>
          <a:ext cx="381000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0.394</cdr:x>
      <cdr:y>0.31325</cdr:y>
    </cdr:from>
    <cdr:to>
      <cdr:x>0.4965</cdr:x>
      <cdr:y>0.31325</cdr:y>
    </cdr:to>
    <cdr:sp>
      <cdr:nvSpPr>
        <cdr:cNvPr id="2" name="Line 2"/>
        <cdr:cNvSpPr>
          <a:spLocks/>
        </cdr:cNvSpPr>
      </cdr:nvSpPr>
      <cdr:spPr>
        <a:xfrm>
          <a:off x="1666875" y="1762125"/>
          <a:ext cx="4381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0.617</cdr:x>
      <cdr:y>0.43525</cdr:y>
    </cdr:from>
    <cdr:to>
      <cdr:x>0.7095</cdr:x>
      <cdr:y>0.43525</cdr:y>
    </cdr:to>
    <cdr:sp>
      <cdr:nvSpPr>
        <cdr:cNvPr id="3" name="Line 3"/>
        <cdr:cNvSpPr>
          <a:spLocks/>
        </cdr:cNvSpPr>
      </cdr:nvSpPr>
      <cdr:spPr>
        <a:xfrm flipH="1">
          <a:off x="2619375" y="2447925"/>
          <a:ext cx="3905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93</xdr:row>
      <xdr:rowOff>38100</xdr:rowOff>
    </xdr:from>
    <xdr:to>
      <xdr:col>12</xdr:col>
      <xdr:colOff>266700</xdr:colOff>
      <xdr:row>128</xdr:row>
      <xdr:rowOff>9525</xdr:rowOff>
    </xdr:to>
    <xdr:graphicFrame>
      <xdr:nvGraphicFramePr>
        <xdr:cNvPr id="1" name="Chart 1"/>
        <xdr:cNvGraphicFramePr/>
      </xdr:nvGraphicFramePr>
      <xdr:xfrm>
        <a:off x="4762500" y="14125575"/>
        <a:ext cx="42481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476250</xdr:colOff>
      <xdr:row>18</xdr:row>
      <xdr:rowOff>0</xdr:rowOff>
    </xdr:from>
    <xdr:to>
      <xdr:col>8</xdr:col>
      <xdr:colOff>352425</xdr:colOff>
      <xdr:row>46</xdr:row>
      <xdr:rowOff>9525</xdr:rowOff>
    </xdr:to>
    <xdr:graphicFrame>
      <xdr:nvGraphicFramePr>
        <xdr:cNvPr id="2" name="Chart 2"/>
        <xdr:cNvGraphicFramePr/>
      </xdr:nvGraphicFramePr>
      <xdr:xfrm>
        <a:off x="476250" y="1943100"/>
        <a:ext cx="6181725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1</xdr:row>
      <xdr:rowOff>114300</xdr:rowOff>
    </xdr:from>
    <xdr:to>
      <xdr:col>9</xdr:col>
      <xdr:colOff>257175</xdr:colOff>
      <xdr:row>2</xdr:row>
      <xdr:rowOff>123825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514975" y="276225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Lönekostnader
</a:t>
          </a:r>
        </a:p>
      </xdr:txBody>
    </xdr:sp>
    <xdr:clientData/>
  </xdr:twoCellAnchor>
  <xdr:twoCellAnchor>
    <xdr:from>
      <xdr:col>4</xdr:col>
      <xdr:colOff>342900</xdr:colOff>
      <xdr:row>1</xdr:row>
      <xdr:rowOff>161925</xdr:rowOff>
    </xdr:from>
    <xdr:to>
      <xdr:col>7</xdr:col>
      <xdr:colOff>352425</xdr:colOff>
      <xdr:row>7</xdr:row>
      <xdr:rowOff>47625</xdr:rowOff>
    </xdr:to>
    <xdr:sp>
      <xdr:nvSpPr>
        <xdr:cNvPr id="2" name="Line 4"/>
        <xdr:cNvSpPr>
          <a:spLocks/>
        </xdr:cNvSpPr>
      </xdr:nvSpPr>
      <xdr:spPr>
        <a:xfrm flipH="1">
          <a:off x="4038600" y="323850"/>
          <a:ext cx="144780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1104900</xdr:colOff>
      <xdr:row>83</xdr:row>
      <xdr:rowOff>0</xdr:rowOff>
    </xdr:from>
    <xdr:to>
      <xdr:col>9</xdr:col>
      <xdr:colOff>161925</xdr:colOff>
      <xdr:row>88</xdr:row>
      <xdr:rowOff>104775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104900" y="13268325"/>
          <a:ext cx="5391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Någon egentlig budget över hur tjänstetiden kommer att fördelas på de olika programmen 2006 görs inte. Istället används i bilagan tjänstetidfördelningen från septemberprognosen 2005. Bilagan ger alltså bara en ungefärlig bild över hur stora kostnader vi tror oss komma att ha för de olika programmen.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DGET\1998\AU97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Reserv%20budget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\BUDGET\BUDGET99\BUM&#214;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3\BUG%202003%20&#229;rs%20budg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udgetf&#246;r&#228;ndingar%20efter%20oktm&#246;tet%20och%20budgetm&#246;t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PRO20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uppf&#246;ljning\Int&#228;ktskonton%20per%20m&#229;na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konomi%202005\Budget%202005\Budget%2020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a%20dokument\BOKSLUT\boksl00\boksl00\L&#246;n&amp;pension\jennykopi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ncent\ekonomi\Ekonomi%202001\Bokslut01\&#197;rsredovisning\OH%20styrelsem&#246;tet%20om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83-9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B reserv 2006"/>
      <sheetName val="UB reserv 2005 new"/>
      <sheetName val="Reserv"/>
      <sheetName val="UB reserv 2005"/>
    </sheetNames>
    <sheetDataSet>
      <sheetData sheetId="0">
        <row r="19">
          <cell r="C19">
            <v>9512000</v>
          </cell>
        </row>
        <row r="23">
          <cell r="C23">
            <v>12010000</v>
          </cell>
        </row>
        <row r="25">
          <cell r="C25">
            <v>2500000</v>
          </cell>
        </row>
      </sheetData>
      <sheetData sheetId="1">
        <row r="23">
          <cell r="C23">
            <v>12712000</v>
          </cell>
        </row>
        <row r="25">
          <cell r="C25">
            <v>2707000</v>
          </cell>
        </row>
        <row r="26">
          <cell r="C26">
            <v>8467500</v>
          </cell>
        </row>
        <row r="28">
          <cell r="C28">
            <v>1537500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int"/>
      <sheetName val="1999 översikt"/>
      <sheetName val="kst-slag"/>
      <sheetName val="Deltagare"/>
      <sheetName val="1998 ack.result.rapport"/>
      <sheetName val="1998-1 38 milj"/>
      <sheetName val="1999 sammanfattning"/>
      <sheetName val="1999 sammanfattn. 2"/>
      <sheetName val="OH kostn 1999"/>
      <sheetName val="gruppintäkter"/>
      <sheetName val="Reservens storlek"/>
    </sheetNames>
    <sheetDataSet>
      <sheetData sheetId="4">
        <row r="2">
          <cell r="C2">
            <v>34991.63891944444</v>
          </cell>
          <cell r="J2" t="str">
            <v>Bilaga 1</v>
          </cell>
        </row>
        <row r="3">
          <cell r="C3" t="str">
            <v>Resultatrapport 1998 (januari-september) </v>
          </cell>
        </row>
        <row r="4">
          <cell r="E4">
            <v>1998</v>
          </cell>
          <cell r="H4" t="str">
            <v>1997 (tkr)</v>
          </cell>
        </row>
        <row r="5">
          <cell r="C5" t="str">
            <v>INTÄKTER</v>
          </cell>
          <cell r="E5" t="str">
            <v>Ackumulerat</v>
          </cell>
          <cell r="F5" t="str">
            <v>Budget 98</v>
          </cell>
          <cell r="G5" t="str">
            <v>%</v>
          </cell>
          <cell r="H5" t="str">
            <v>Ackum.</v>
          </cell>
          <cell r="I5" t="str">
            <v>Utfall helår</v>
          </cell>
          <cell r="J5" t="str">
            <v>%</v>
          </cell>
        </row>
        <row r="6">
          <cell r="E6" t="str">
            <v>utfall 1998</v>
          </cell>
        </row>
        <row r="7">
          <cell r="C7" t="str">
            <v>Avgifter</v>
          </cell>
        </row>
        <row r="8">
          <cell r="C8" t="str">
            <v>Helbetalande medl.</v>
          </cell>
          <cell r="E8">
            <v>9995798</v>
          </cell>
          <cell r="F8">
            <v>10284000</v>
          </cell>
          <cell r="G8">
            <v>97.19756903928433</v>
          </cell>
          <cell r="H8">
            <v>9602.6</v>
          </cell>
          <cell r="I8">
            <v>9602</v>
          </cell>
          <cell r="J8">
            <v>100.00624869818789</v>
          </cell>
        </row>
        <row r="9">
          <cell r="C9" t="str">
            <v>Delbetalande medl.</v>
          </cell>
          <cell r="E9">
            <v>4202785</v>
          </cell>
          <cell r="F9">
            <v>4576000</v>
          </cell>
          <cell r="G9">
            <v>91.8440777972028</v>
          </cell>
          <cell r="H9">
            <v>3999</v>
          </cell>
          <cell r="I9">
            <v>3998.4</v>
          </cell>
          <cell r="J9">
            <v>100.01500600240097</v>
          </cell>
        </row>
        <row r="10">
          <cell r="C10" t="str">
            <v>Grupper</v>
          </cell>
          <cell r="E10">
            <v>255100</v>
          </cell>
          <cell r="F10">
            <v>445000</v>
          </cell>
          <cell r="G10">
            <v>57.325842696629216</v>
          </cell>
          <cell r="H10">
            <v>253.3</v>
          </cell>
          <cell r="I10">
            <v>377.8</v>
          </cell>
          <cell r="J10">
            <v>67.04605611434621</v>
          </cell>
        </row>
        <row r="11">
          <cell r="C11" t="str">
            <v>Summa</v>
          </cell>
          <cell r="E11">
            <v>14453683</v>
          </cell>
          <cell r="F11">
            <v>15305000</v>
          </cell>
          <cell r="G11">
            <v>94.43765436131983</v>
          </cell>
          <cell r="H11">
            <v>13854.9</v>
          </cell>
          <cell r="I11">
            <v>13978.199999999999</v>
          </cell>
          <cell r="J11">
            <v>99.1179121775336</v>
          </cell>
        </row>
        <row r="13">
          <cell r="C13" t="str">
            <v>Försäljning </v>
          </cell>
        </row>
        <row r="14">
          <cell r="C14" t="str">
            <v>Malmöverksamheten </v>
          </cell>
          <cell r="E14">
            <v>0</v>
          </cell>
          <cell r="F14">
            <v>0</v>
          </cell>
          <cell r="G14">
            <v>0</v>
          </cell>
          <cell r="H14">
            <v>162.2</v>
          </cell>
          <cell r="I14">
            <v>237.9</v>
          </cell>
          <cell r="J14">
            <v>68.17990752416982</v>
          </cell>
        </row>
        <row r="15">
          <cell r="C15" t="str">
            <v>Rapporter o l</v>
          </cell>
          <cell r="E15">
            <v>157618.64</v>
          </cell>
          <cell r="F15">
            <v>220000</v>
          </cell>
          <cell r="G15">
            <v>71.64483636363637</v>
          </cell>
          <cell r="H15">
            <v>91.9</v>
          </cell>
          <cell r="I15">
            <v>152</v>
          </cell>
          <cell r="J15">
            <v>60.46052631578947</v>
          </cell>
        </row>
        <row r="16">
          <cell r="C16" t="str">
            <v>Almanackan o övrigt</v>
          </cell>
          <cell r="E16">
            <v>127706.5</v>
          </cell>
          <cell r="F16">
            <v>70000</v>
          </cell>
          <cell r="G16">
            <v>182.43785714285713</v>
          </cell>
          <cell r="H16">
            <v>38.2</v>
          </cell>
          <cell r="I16">
            <v>152.2</v>
          </cell>
          <cell r="J16">
            <v>25.098554533508544</v>
          </cell>
        </row>
        <row r="17">
          <cell r="C17" t="str">
            <v>Summa</v>
          </cell>
          <cell r="E17">
            <v>285325.14</v>
          </cell>
          <cell r="F17">
            <v>290000</v>
          </cell>
          <cell r="G17">
            <v>98.38797931034483</v>
          </cell>
          <cell r="H17">
            <v>292.3</v>
          </cell>
          <cell r="I17">
            <v>542.0999999999999</v>
          </cell>
          <cell r="J17">
            <v>53.91994097030069</v>
          </cell>
        </row>
        <row r="19">
          <cell r="C19" t="str">
            <v>Prenumerationer</v>
          </cell>
        </row>
        <row r="20">
          <cell r="C20" t="str">
            <v>Amnesty Press</v>
          </cell>
          <cell r="E20">
            <v>102971.83</v>
          </cell>
          <cell r="F20">
            <v>170000</v>
          </cell>
          <cell r="G20">
            <v>60.571664705882355</v>
          </cell>
          <cell r="H20">
            <v>125.6</v>
          </cell>
          <cell r="I20">
            <v>125.9</v>
          </cell>
          <cell r="J20">
            <v>99.76171564733914</v>
          </cell>
        </row>
        <row r="21">
          <cell r="C21" t="str">
            <v>Kortkampanjen</v>
          </cell>
          <cell r="E21">
            <v>287430.9</v>
          </cell>
          <cell r="F21">
            <v>350000</v>
          </cell>
          <cell r="G21">
            <v>82.1231142857143</v>
          </cell>
          <cell r="H21">
            <v>295.3</v>
          </cell>
          <cell r="I21">
            <v>351.8</v>
          </cell>
          <cell r="J21">
            <v>83.93973848777715</v>
          </cell>
        </row>
        <row r="22">
          <cell r="C22" t="str">
            <v>Pådraget</v>
          </cell>
          <cell r="E22">
            <v>101642</v>
          </cell>
          <cell r="F22">
            <v>150000</v>
          </cell>
          <cell r="G22">
            <v>67.76133333333333</v>
          </cell>
          <cell r="H22">
            <v>90.7</v>
          </cell>
          <cell r="I22">
            <v>101.2</v>
          </cell>
          <cell r="J22">
            <v>89.62450592885376</v>
          </cell>
        </row>
        <row r="23">
          <cell r="C23" t="str">
            <v>Landinformation</v>
          </cell>
          <cell r="E23">
            <v>0</v>
          </cell>
          <cell r="F23">
            <v>40000</v>
          </cell>
          <cell r="G23">
            <v>0</v>
          </cell>
          <cell r="H23">
            <v>41.4</v>
          </cell>
          <cell r="I23">
            <v>41.4</v>
          </cell>
          <cell r="J23">
            <v>100</v>
          </cell>
        </row>
        <row r="24">
          <cell r="C24" t="str">
            <v>Summa</v>
          </cell>
          <cell r="E24">
            <v>492044.73000000004</v>
          </cell>
          <cell r="F24">
            <v>710000</v>
          </cell>
          <cell r="G24">
            <v>69.30207464788734</v>
          </cell>
          <cell r="H24">
            <v>553</v>
          </cell>
          <cell r="I24">
            <v>620.3000000000001</v>
          </cell>
          <cell r="J24">
            <v>89.15041109140738</v>
          </cell>
        </row>
        <row r="26">
          <cell r="C26" t="str">
            <v>Gåvor &amp; Bidrag</v>
          </cell>
        </row>
        <row r="27">
          <cell r="C27" t="str">
            <v>Grupper</v>
          </cell>
          <cell r="E27">
            <v>348221.71</v>
          </cell>
          <cell r="F27">
            <v>900000</v>
          </cell>
          <cell r="G27">
            <v>38.691301111111116</v>
          </cell>
          <cell r="H27">
            <v>398.5</v>
          </cell>
          <cell r="I27">
            <v>714.2</v>
          </cell>
          <cell r="J27">
            <v>55.796695603472415</v>
          </cell>
        </row>
        <row r="28">
          <cell r="C28" t="str">
            <v>Spontana gåvor </v>
          </cell>
          <cell r="E28">
            <v>5252083.42</v>
          </cell>
          <cell r="F28">
            <v>2800000</v>
          </cell>
          <cell r="G28">
            <v>187.57440785714286</v>
          </cell>
          <cell r="H28">
            <v>1946.6</v>
          </cell>
          <cell r="I28">
            <v>3514.6</v>
          </cell>
          <cell r="J28">
            <v>55.38610368178456</v>
          </cell>
        </row>
        <row r="29">
          <cell r="C29" t="str">
            <v>Insamlingar </v>
          </cell>
          <cell r="E29">
            <v>4472883.25</v>
          </cell>
          <cell r="F29">
            <v>8000000</v>
          </cell>
          <cell r="G29">
            <v>55.911040625</v>
          </cell>
          <cell r="H29">
            <v>5482.6</v>
          </cell>
          <cell r="I29">
            <v>8152.3</v>
          </cell>
          <cell r="J29">
            <v>67.25218649951547</v>
          </cell>
        </row>
        <row r="30">
          <cell r="C30" t="str">
            <v>AmnestyGiro</v>
          </cell>
          <cell r="E30">
            <v>2114287</v>
          </cell>
          <cell r="F30">
            <v>2800000</v>
          </cell>
          <cell r="G30">
            <v>75.51025</v>
          </cell>
          <cell r="H30">
            <v>1986.9</v>
          </cell>
          <cell r="I30">
            <v>2695.7</v>
          </cell>
          <cell r="J30">
            <v>73.70627295322181</v>
          </cell>
        </row>
        <row r="31">
          <cell r="C31" t="str">
            <v>AmnestySupporter</v>
          </cell>
          <cell r="E31">
            <v>169600</v>
          </cell>
          <cell r="F31">
            <v>150000</v>
          </cell>
          <cell r="G31">
            <v>113.06666666666668</v>
          </cell>
          <cell r="H31">
            <v>99</v>
          </cell>
          <cell r="I31">
            <v>160.7</v>
          </cell>
          <cell r="J31">
            <v>61.605476042314876</v>
          </cell>
        </row>
        <row r="32">
          <cell r="C32" t="str">
            <v>Almanackan</v>
          </cell>
          <cell r="E32">
            <v>769479.65</v>
          </cell>
          <cell r="F32">
            <v>1500000</v>
          </cell>
          <cell r="G32">
            <v>51.29864333333334</v>
          </cell>
          <cell r="H32">
            <v>890.2</v>
          </cell>
          <cell r="I32">
            <v>1286.9</v>
          </cell>
          <cell r="J32">
            <v>69.17398399254022</v>
          </cell>
        </row>
        <row r="33">
          <cell r="C33" t="str">
            <v>Speciella insamlingsprojekt</v>
          </cell>
          <cell r="E33">
            <v>58579</v>
          </cell>
          <cell r="F33">
            <v>500000</v>
          </cell>
          <cell r="G33">
            <v>11.7158</v>
          </cell>
          <cell r="H33">
            <v>527.8</v>
          </cell>
          <cell r="I33">
            <v>616.6</v>
          </cell>
          <cell r="J33">
            <v>85.598443074927</v>
          </cell>
        </row>
        <row r="34">
          <cell r="C34" t="str">
            <v>Humanfonden (se längst ner t h)</v>
          </cell>
          <cell r="E34">
            <v>0</v>
          </cell>
          <cell r="F34">
            <v>5200000</v>
          </cell>
          <cell r="G34">
            <v>0</v>
          </cell>
          <cell r="H34">
            <v>0</v>
          </cell>
          <cell r="I34">
            <v>5738</v>
          </cell>
          <cell r="J34">
            <v>0</v>
          </cell>
        </row>
        <row r="35">
          <cell r="C35" t="str">
            <v>Hjälpfonden (se längst ner t h)</v>
          </cell>
          <cell r="E35">
            <v>0</v>
          </cell>
          <cell r="F35">
            <v>195000</v>
          </cell>
          <cell r="G35">
            <v>0</v>
          </cell>
          <cell r="H35">
            <v>0</v>
          </cell>
          <cell r="I35">
            <v>186.8</v>
          </cell>
          <cell r="J35">
            <v>0</v>
          </cell>
        </row>
        <row r="36">
          <cell r="C36" t="str">
            <v>Summa</v>
          </cell>
          <cell r="E36">
            <v>13185134.03</v>
          </cell>
          <cell r="F36">
            <v>22045000</v>
          </cell>
          <cell r="G36">
            <v>59.81008859151735</v>
          </cell>
          <cell r="H36">
            <v>11331.6</v>
          </cell>
          <cell r="I36">
            <v>23065.8</v>
          </cell>
          <cell r="J36">
            <v>49.127279348646056</v>
          </cell>
        </row>
        <row r="38">
          <cell r="C38" t="str">
            <v>Övrigt</v>
          </cell>
        </row>
        <row r="39">
          <cell r="C39" t="str">
            <v>Räntor</v>
          </cell>
          <cell r="E39">
            <v>1123.61</v>
          </cell>
          <cell r="F39">
            <v>650000</v>
          </cell>
          <cell r="G39">
            <v>0.1728630769230769</v>
          </cell>
          <cell r="H39">
            <v>0</v>
          </cell>
          <cell r="I39">
            <v>287.3</v>
          </cell>
          <cell r="J39">
            <v>0</v>
          </cell>
        </row>
        <row r="40">
          <cell r="C40" t="str">
            <v>Övriga</v>
          </cell>
          <cell r="E40">
            <v>0</v>
          </cell>
          <cell r="H40">
            <v>0</v>
          </cell>
          <cell r="I40">
            <v>0</v>
          </cell>
        </row>
        <row r="41">
          <cell r="C41" t="str">
            <v>Summa</v>
          </cell>
          <cell r="E41">
            <v>1123.61</v>
          </cell>
          <cell r="F41">
            <v>650000</v>
          </cell>
          <cell r="G41">
            <v>0.1728630769230769</v>
          </cell>
          <cell r="H41">
            <v>0</v>
          </cell>
          <cell r="I41">
            <v>287.3</v>
          </cell>
          <cell r="J41">
            <v>0</v>
          </cell>
        </row>
        <row r="43">
          <cell r="C43" t="str">
            <v>SUMMA INTÄKTER</v>
          </cell>
          <cell r="E43">
            <v>28417310.509999998</v>
          </cell>
          <cell r="F43">
            <v>39000000</v>
          </cell>
          <cell r="G43">
            <v>72.86489874358973</v>
          </cell>
          <cell r="H43">
            <v>26031.8</v>
          </cell>
          <cell r="I43">
            <v>38493.7</v>
          </cell>
          <cell r="J43">
            <v>67.62613102923336</v>
          </cell>
        </row>
        <row r="45">
          <cell r="C45" t="str">
            <v>KOSTNADER </v>
          </cell>
        </row>
        <row r="47">
          <cell r="C47" t="str">
            <v>Programverksamhet</v>
          </cell>
          <cell r="E47">
            <v>7587230.899999999</v>
          </cell>
          <cell r="F47">
            <v>11280000</v>
          </cell>
          <cell r="G47">
            <v>67.26268528368794</v>
          </cell>
          <cell r="H47">
            <v>7441.4</v>
          </cell>
          <cell r="I47">
            <v>11476.1</v>
          </cell>
          <cell r="J47">
            <v>64.8425858959054</v>
          </cell>
        </row>
        <row r="48">
          <cell r="C48" t="str">
            <v>Sekretariatskostnader</v>
          </cell>
          <cell r="E48">
            <v>3700948.36</v>
          </cell>
          <cell r="F48">
            <v>5477000</v>
          </cell>
          <cell r="G48">
            <v>67.5725462844623</v>
          </cell>
          <cell r="H48">
            <v>3401.3</v>
          </cell>
          <cell r="I48">
            <v>6343.4</v>
          </cell>
          <cell r="J48">
            <v>53.61951004193335</v>
          </cell>
        </row>
        <row r="49">
          <cell r="C49" t="str">
            <v>Personalkostnader</v>
          </cell>
          <cell r="E49">
            <v>8376505.88</v>
          </cell>
          <cell r="F49">
            <v>8927000</v>
          </cell>
          <cell r="G49">
            <v>93.83338053097346</v>
          </cell>
          <cell r="H49">
            <v>6936.7</v>
          </cell>
          <cell r="I49">
            <v>9083.9</v>
          </cell>
          <cell r="J49">
            <v>76.36257554574577</v>
          </cell>
        </row>
        <row r="50">
          <cell r="C50" t="str">
            <v>Summa sektionskostnader</v>
          </cell>
          <cell r="E50">
            <v>19664685.14</v>
          </cell>
          <cell r="F50">
            <v>25684000</v>
          </cell>
          <cell r="G50">
            <v>76.56395086435136</v>
          </cell>
          <cell r="H50">
            <v>17779.4</v>
          </cell>
          <cell r="I50">
            <v>26903.4</v>
          </cell>
          <cell r="J50">
            <v>66.0860709055361</v>
          </cell>
        </row>
        <row r="51">
          <cell r="C51" t="str">
            <v>Internationella rörelsen</v>
          </cell>
          <cell r="E51">
            <v>9918750</v>
          </cell>
          <cell r="F51">
            <v>13225000</v>
          </cell>
          <cell r="G51">
            <v>75</v>
          </cell>
          <cell r="H51">
            <v>8523</v>
          </cell>
          <cell r="I51">
            <v>11699</v>
          </cell>
          <cell r="J51">
            <v>72.85238054534575</v>
          </cell>
        </row>
        <row r="52">
          <cell r="C52" t="str">
            <v>SUMMA KOSTNADER</v>
          </cell>
          <cell r="E52">
            <v>29583435.14</v>
          </cell>
          <cell r="F52">
            <v>38909000</v>
          </cell>
          <cell r="G52">
            <v>76.03237076254851</v>
          </cell>
          <cell r="H52">
            <v>26302.4</v>
          </cell>
          <cell r="I52">
            <v>38602.4</v>
          </cell>
          <cell r="J52">
            <v>68.13669616396908</v>
          </cell>
        </row>
        <row r="53">
          <cell r="C53" t="str">
            <v>RESULTAT</v>
          </cell>
          <cell r="E53">
            <v>-1166124.6300000027</v>
          </cell>
          <cell r="F53">
            <v>91000</v>
          </cell>
          <cell r="H53">
            <v>-270.6000000000022</v>
          </cell>
          <cell r="I53">
            <v>-108.70000000000437</v>
          </cell>
        </row>
        <row r="55">
          <cell r="H55" t="str">
            <v>Fonderna</v>
          </cell>
          <cell r="I55" t="str">
            <v>Human</v>
          </cell>
          <cell r="J55" t="str">
            <v>Antal</v>
          </cell>
        </row>
        <row r="56">
          <cell r="H56" t="str">
            <v>31 dec 97</v>
          </cell>
          <cell r="I56">
            <v>5738001</v>
          </cell>
          <cell r="J56">
            <v>9379</v>
          </cell>
        </row>
        <row r="57">
          <cell r="H57" t="str">
            <v>30 juli 98</v>
          </cell>
          <cell r="I57">
            <v>7406212</v>
          </cell>
          <cell r="J57">
            <v>10182</v>
          </cell>
        </row>
        <row r="58">
          <cell r="H58" t="str">
            <v>30 aug 98</v>
          </cell>
          <cell r="I58">
            <v>6420497</v>
          </cell>
          <cell r="J58">
            <v>10238</v>
          </cell>
        </row>
        <row r="59">
          <cell r="H59" t="str">
            <v>30 sept 98</v>
          </cell>
          <cell r="I59">
            <v>5785239</v>
          </cell>
          <cell r="J59">
            <v>10213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."/>
      <sheetName val="Budget 2003"/>
      <sheetName val="verksamplan"/>
      <sheetName val="verksamplan(arb)"/>
      <sheetName val="verksamplan lö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slut"/>
      <sheetName val="Belopp"/>
      <sheetName val="Blad1"/>
      <sheetName val="Blad2"/>
      <sheetName val="Blad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spcs"/>
      <sheetName val="januari"/>
      <sheetName val="02spcs"/>
      <sheetName val="februari"/>
      <sheetName val="03spcs"/>
      <sheetName val="mars"/>
      <sheetName val="04spcs"/>
      <sheetName val="april"/>
      <sheetName val="05spcs"/>
      <sheetName val="maj"/>
      <sheetName val="06spcs"/>
      <sheetName val="juni"/>
      <sheetName val="07spcs"/>
      <sheetName val="juli"/>
      <sheetName val="08spcs"/>
      <sheetName val="augusti"/>
      <sheetName val="08spcsny"/>
      <sheetName val="augustiny"/>
      <sheetName val="Sammanfattning 2005"/>
    </sheetNames>
    <sheetDataSet>
      <sheetData sheetId="18">
        <row r="37">
          <cell r="F37">
            <v>-500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rs"/>
      <sheetName val="februari"/>
      <sheetName val="januari"/>
      <sheetName val="augustiny"/>
      <sheetName val="augusti"/>
      <sheetName val="juli"/>
      <sheetName val="juni"/>
      <sheetName val="maj"/>
    </sheetNames>
    <sheetDataSet>
      <sheetData sheetId="0">
        <row r="8">
          <cell r="B8">
            <v>3788</v>
          </cell>
        </row>
        <row r="9">
          <cell r="B9">
            <v>1135</v>
          </cell>
        </row>
        <row r="10">
          <cell r="B10">
            <v>2124</v>
          </cell>
        </row>
        <row r="11">
          <cell r="B11">
            <v>140</v>
          </cell>
        </row>
        <row r="12">
          <cell r="B12">
            <v>3454</v>
          </cell>
        </row>
        <row r="13">
          <cell r="B13">
            <v>949</v>
          </cell>
        </row>
        <row r="14">
          <cell r="B14">
            <v>685</v>
          </cell>
        </row>
        <row r="15">
          <cell r="B15">
            <v>72</v>
          </cell>
        </row>
        <row r="16">
          <cell r="B16">
            <v>422</v>
          </cell>
        </row>
        <row r="17">
          <cell r="B17">
            <v>209</v>
          </cell>
        </row>
        <row r="18">
          <cell r="B18">
            <v>128</v>
          </cell>
        </row>
        <row r="20">
          <cell r="B20">
            <v>206</v>
          </cell>
        </row>
        <row r="23">
          <cell r="B23">
            <v>74</v>
          </cell>
        </row>
        <row r="24">
          <cell r="B24">
            <v>44</v>
          </cell>
        </row>
        <row r="27">
          <cell r="B27">
            <v>682</v>
          </cell>
        </row>
        <row r="29">
          <cell r="B29">
            <v>94</v>
          </cell>
        </row>
        <row r="30">
          <cell r="B30">
            <v>1</v>
          </cell>
        </row>
        <row r="31">
          <cell r="B31">
            <v>6</v>
          </cell>
        </row>
        <row r="33">
          <cell r="B33">
            <v>140</v>
          </cell>
        </row>
        <row r="34">
          <cell r="B34">
            <v>4</v>
          </cell>
        </row>
        <row r="35">
          <cell r="B35">
            <v>17</v>
          </cell>
        </row>
        <row r="36">
          <cell r="B36">
            <v>-746</v>
          </cell>
        </row>
        <row r="37">
          <cell r="B37">
            <v>65</v>
          </cell>
        </row>
        <row r="38">
          <cell r="B38">
            <v>2</v>
          </cell>
        </row>
        <row r="39">
          <cell r="B39">
            <v>1</v>
          </cell>
        </row>
        <row r="40">
          <cell r="B40">
            <v>4</v>
          </cell>
        </row>
        <row r="41">
          <cell r="B41">
            <v>4</v>
          </cell>
        </row>
        <row r="42">
          <cell r="B42">
            <v>315</v>
          </cell>
        </row>
        <row r="43">
          <cell r="B43">
            <v>6</v>
          </cell>
        </row>
        <row r="44">
          <cell r="B44">
            <v>55</v>
          </cell>
        </row>
        <row r="46">
          <cell r="B46">
            <v>26</v>
          </cell>
        </row>
        <row r="47">
          <cell r="B47">
            <v>9</v>
          </cell>
        </row>
        <row r="51">
          <cell r="B51">
            <v>1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mmanfattning bil 1"/>
      <sheetName val="Intäkter bil 2"/>
      <sheetName val="verksamplan bil 3"/>
      <sheetName val="Delpr bil 4"/>
      <sheetName val="fördkostn Bil 5"/>
      <sheetName val="Blad 1"/>
      <sheetName val="Blad2"/>
      <sheetName val="Blad3"/>
      <sheetName val="Blad4"/>
    </sheetNames>
    <sheetDataSet>
      <sheetData sheetId="1">
        <row r="12">
          <cell r="B12">
            <v>330</v>
          </cell>
        </row>
        <row r="13">
          <cell r="B13">
            <v>12390</v>
          </cell>
        </row>
        <row r="19">
          <cell r="B19">
            <v>320</v>
          </cell>
        </row>
        <row r="24">
          <cell r="B24">
            <v>450</v>
          </cell>
        </row>
        <row r="40">
          <cell r="B40">
            <v>24649.56</v>
          </cell>
        </row>
        <row r="45">
          <cell r="B45">
            <v>270</v>
          </cell>
        </row>
      </sheetData>
      <sheetData sheetId="2">
        <row r="7">
          <cell r="F7">
            <v>600</v>
          </cell>
        </row>
        <row r="9">
          <cell r="F9">
            <v>265</v>
          </cell>
        </row>
        <row r="10">
          <cell r="F10">
            <v>260</v>
          </cell>
        </row>
        <row r="14">
          <cell r="F14">
            <v>422</v>
          </cell>
        </row>
        <row r="15">
          <cell r="F15">
            <v>187</v>
          </cell>
        </row>
        <row r="16">
          <cell r="F16">
            <v>26</v>
          </cell>
        </row>
        <row r="17">
          <cell r="F17">
            <v>1467</v>
          </cell>
        </row>
        <row r="18">
          <cell r="F18">
            <v>225</v>
          </cell>
        </row>
        <row r="44">
          <cell r="F44">
            <v>2615</v>
          </cell>
        </row>
        <row r="45">
          <cell r="F45">
            <v>4483</v>
          </cell>
        </row>
        <row r="46">
          <cell r="F46">
            <v>50</v>
          </cell>
        </row>
        <row r="47">
          <cell r="F47">
            <v>65</v>
          </cell>
        </row>
        <row r="48">
          <cell r="F48">
            <v>-493</v>
          </cell>
        </row>
        <row r="53">
          <cell r="F53">
            <v>2909</v>
          </cell>
        </row>
        <row r="54">
          <cell r="F54">
            <v>25</v>
          </cell>
        </row>
        <row r="55">
          <cell r="F55">
            <v>390</v>
          </cell>
        </row>
        <row r="56">
          <cell r="F56">
            <v>115</v>
          </cell>
        </row>
        <row r="57">
          <cell r="F57">
            <v>410</v>
          </cell>
        </row>
        <row r="58">
          <cell r="F58">
            <v>10007</v>
          </cell>
        </row>
        <row r="64">
          <cell r="F64">
            <v>13122</v>
          </cell>
        </row>
        <row r="73">
          <cell r="F73">
            <v>11862</v>
          </cell>
        </row>
        <row r="74">
          <cell r="F74">
            <v>3849</v>
          </cell>
        </row>
        <row r="75">
          <cell r="F75">
            <v>10007</v>
          </cell>
        </row>
        <row r="77">
          <cell r="F77">
            <v>13122</v>
          </cell>
        </row>
      </sheetData>
      <sheetData sheetId="3">
        <row r="64">
          <cell r="G64">
            <v>65</v>
          </cell>
        </row>
        <row r="68">
          <cell r="G68">
            <v>14</v>
          </cell>
        </row>
        <row r="81">
          <cell r="G81">
            <v>536</v>
          </cell>
        </row>
        <row r="89">
          <cell r="G89">
            <v>110</v>
          </cell>
        </row>
        <row r="105">
          <cell r="G105">
            <v>173</v>
          </cell>
        </row>
        <row r="111">
          <cell r="G111">
            <v>56</v>
          </cell>
        </row>
        <row r="118">
          <cell r="G118">
            <v>105</v>
          </cell>
        </row>
        <row r="121">
          <cell r="G121">
            <v>5</v>
          </cell>
        </row>
        <row r="125">
          <cell r="G125">
            <v>35</v>
          </cell>
        </row>
        <row r="128">
          <cell r="G128">
            <v>0</v>
          </cell>
        </row>
        <row r="133">
          <cell r="G133">
            <v>264</v>
          </cell>
        </row>
        <row r="142">
          <cell r="G142">
            <v>235</v>
          </cell>
        </row>
        <row r="145">
          <cell r="G145">
            <v>27</v>
          </cell>
        </row>
        <row r="148">
          <cell r="G148">
            <v>25</v>
          </cell>
        </row>
        <row r="152">
          <cell r="G152">
            <v>40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mlöneskuld"/>
      <sheetName val="Sheet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server i siffror"/>
      <sheetName val="Reserver i stapel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6">
      <selection activeCell="C35" sqref="C35"/>
    </sheetView>
  </sheetViews>
  <sheetFormatPr defaultColWidth="9.140625" defaultRowHeight="12.75"/>
  <cols>
    <col min="1" max="1" width="34.00390625" style="310" customWidth="1"/>
    <col min="2" max="3" width="10.00390625" style="310" customWidth="1"/>
    <col min="4" max="4" width="10.28125" style="310" customWidth="1"/>
    <col min="5" max="5" width="8.00390625" style="310" customWidth="1"/>
    <col min="6" max="6" width="10.8515625" style="309" bestFit="1" customWidth="1"/>
    <col min="7" max="16384" width="8.00390625" style="310" customWidth="1"/>
  </cols>
  <sheetData>
    <row r="1" spans="1:5" ht="12">
      <c r="A1" s="308"/>
      <c r="B1" s="308"/>
      <c r="C1" s="308"/>
      <c r="D1" s="308"/>
      <c r="E1" s="308"/>
    </row>
    <row r="2" spans="1:5" ht="17.25">
      <c r="A2" s="311" t="s">
        <v>305</v>
      </c>
      <c r="B2" s="311"/>
      <c r="C2" s="311"/>
      <c r="D2" s="336" t="s">
        <v>290</v>
      </c>
      <c r="E2" s="308"/>
    </row>
    <row r="3" spans="1:5" ht="12">
      <c r="A3" s="308"/>
      <c r="B3" s="308"/>
      <c r="C3" s="308"/>
      <c r="D3" s="308"/>
      <c r="E3" s="308"/>
    </row>
    <row r="4" spans="1:5" ht="12">
      <c r="A4" s="308"/>
      <c r="B4" s="308"/>
      <c r="C4" s="308"/>
      <c r="E4" s="308"/>
    </row>
    <row r="5" spans="1:5" ht="27.75">
      <c r="A5" s="312" t="s">
        <v>291</v>
      </c>
      <c r="B5" s="334" t="s">
        <v>306</v>
      </c>
      <c r="C5" s="334" t="s">
        <v>292</v>
      </c>
      <c r="D5" s="335" t="s">
        <v>307</v>
      </c>
      <c r="E5" s="308"/>
    </row>
    <row r="6" spans="1:5" ht="12">
      <c r="A6" s="313"/>
      <c r="B6" s="314"/>
      <c r="C6" s="314"/>
      <c r="D6" s="315"/>
      <c r="E6" s="308"/>
    </row>
    <row r="7" spans="1:5" ht="12">
      <c r="A7" s="316" t="s">
        <v>293</v>
      </c>
      <c r="B7" s="317"/>
      <c r="C7" s="317"/>
      <c r="D7" s="315"/>
      <c r="E7" s="308"/>
    </row>
    <row r="8" spans="1:5" ht="13.5" customHeight="1">
      <c r="A8" s="313" t="s">
        <v>294</v>
      </c>
      <c r="B8" s="318">
        <f>'Intäkter bil 2'!B13-B9</f>
        <v>14490</v>
      </c>
      <c r="C8" s="318">
        <f>'[7]Intäkter bil 2'!B13-'[7]Intäkter bil 2'!B12</f>
        <v>12060</v>
      </c>
      <c r="D8" s="319">
        <f>'Intäkter bil 2'!C13-D9</f>
        <v>12210</v>
      </c>
      <c r="E8" s="320"/>
    </row>
    <row r="9" spans="1:5" ht="12">
      <c r="A9" s="313" t="s">
        <v>263</v>
      </c>
      <c r="B9" s="318">
        <f>'Intäkter bil 2'!B12</f>
        <v>320</v>
      </c>
      <c r="C9" s="318">
        <f>'[7]Intäkter bil 2'!B12</f>
        <v>330</v>
      </c>
      <c r="D9" s="319">
        <f>'Intäkter bil 2'!C12</f>
        <v>310</v>
      </c>
      <c r="E9" s="308"/>
    </row>
    <row r="10" spans="1:5" ht="12">
      <c r="A10" s="313" t="s">
        <v>58</v>
      </c>
      <c r="B10" s="318">
        <f>'Intäkter bil 2'!B19</f>
        <v>250</v>
      </c>
      <c r="C10" s="318">
        <f>'[7]Intäkter bil 2'!B19</f>
        <v>320</v>
      </c>
      <c r="D10" s="319">
        <f>'Intäkter bil 2'!C19</f>
        <v>220</v>
      </c>
      <c r="E10" s="308"/>
    </row>
    <row r="11" spans="1:5" ht="12">
      <c r="A11" s="313" t="s">
        <v>270</v>
      </c>
      <c r="B11" s="318">
        <f>'Intäkter bil 2'!B24</f>
        <v>510</v>
      </c>
      <c r="C11" s="318">
        <f>'[7]Intäkter bil 2'!B24</f>
        <v>450</v>
      </c>
      <c r="D11" s="319">
        <f>'Intäkter bil 2'!C24</f>
        <v>400</v>
      </c>
      <c r="E11" s="308"/>
    </row>
    <row r="12" spans="1:5" ht="12">
      <c r="A12" s="313" t="s">
        <v>272</v>
      </c>
      <c r="B12" s="318">
        <f>'Intäkter bil 2'!B44</f>
        <v>28285</v>
      </c>
      <c r="C12" s="318">
        <f>'[7]Intäkter bil 2'!B40</f>
        <v>24649.56</v>
      </c>
      <c r="D12" s="319">
        <f>'Intäkter bil 2'!C44</f>
        <v>29040</v>
      </c>
      <c r="E12" s="320"/>
    </row>
    <row r="13" spans="1:5" ht="12">
      <c r="A13" s="313" t="s">
        <v>287</v>
      </c>
      <c r="B13" s="318">
        <f>'Intäkter bil 2'!B49</f>
        <v>270</v>
      </c>
      <c r="C13" s="318">
        <f>'[7]Intäkter bil 2'!B45</f>
        <v>270</v>
      </c>
      <c r="D13" s="319">
        <f>'Intäkter bil 2'!C49</f>
        <v>250</v>
      </c>
      <c r="E13" s="308"/>
    </row>
    <row r="14" spans="1:5" ht="12">
      <c r="A14" s="313"/>
      <c r="B14" s="314"/>
      <c r="C14" s="314"/>
      <c r="D14" s="314"/>
      <c r="E14" s="308"/>
    </row>
    <row r="15" spans="1:5" ht="12">
      <c r="A15" s="321" t="s">
        <v>289</v>
      </c>
      <c r="B15" s="322">
        <f>SUM(B8:B14)</f>
        <v>44125</v>
      </c>
      <c r="C15" s="322">
        <f>SUM(C8:C14)</f>
        <v>38079.56</v>
      </c>
      <c r="D15" s="322">
        <f>SUM(D8:D14)</f>
        <v>42430</v>
      </c>
      <c r="E15" s="320"/>
    </row>
    <row r="16" spans="1:5" ht="12">
      <c r="A16" s="316"/>
      <c r="B16" s="317"/>
      <c r="C16" s="317"/>
      <c r="D16" s="323"/>
      <c r="E16" s="308"/>
    </row>
    <row r="17" spans="1:5" ht="12">
      <c r="A17" s="316" t="s">
        <v>295</v>
      </c>
      <c r="B17" s="317"/>
      <c r="C17" s="317"/>
      <c r="D17" s="313"/>
      <c r="E17" s="308"/>
    </row>
    <row r="18" spans="1:5" ht="12">
      <c r="A18" s="313" t="s">
        <v>296</v>
      </c>
      <c r="B18" s="318">
        <f>'kostnader bil 3'!B54</f>
        <v>15708</v>
      </c>
      <c r="C18" s="318">
        <f>'[7]verksamplan bil 3'!F73</f>
        <v>11862</v>
      </c>
      <c r="D18" s="319">
        <f>'kostnader bil 3'!D54</f>
        <v>12822</v>
      </c>
      <c r="E18" s="308"/>
    </row>
    <row r="19" spans="1:5" ht="12">
      <c r="A19" s="313" t="s">
        <v>297</v>
      </c>
      <c r="B19" s="318">
        <f>'kostnader bil 3'!B65-B20</f>
        <v>3482</v>
      </c>
      <c r="C19" s="318">
        <f>'[7]verksamplan bil 3'!F74</f>
        <v>3849</v>
      </c>
      <c r="D19" s="319">
        <f>'kostnader bil 3'!D65-D20</f>
        <v>3709</v>
      </c>
      <c r="E19" s="308"/>
    </row>
    <row r="20" spans="1:5" ht="12">
      <c r="A20" s="313" t="s">
        <v>245</v>
      </c>
      <c r="B20" s="318">
        <f>'kostnader bil 3'!B64</f>
        <v>11787</v>
      </c>
      <c r="C20" s="318">
        <f>'[7]verksamplan bil 3'!F75</f>
        <v>10007</v>
      </c>
      <c r="D20" s="319">
        <f>'kostnader bil 3'!D64</f>
        <v>10061</v>
      </c>
      <c r="E20" s="308"/>
    </row>
    <row r="21" spans="1:5" ht="12">
      <c r="A21" s="316" t="s">
        <v>246</v>
      </c>
      <c r="B21" s="323">
        <f>SUM(B18:B20)</f>
        <v>30977</v>
      </c>
      <c r="C21" s="323">
        <f>SUM(C18:C20)</f>
        <v>25718</v>
      </c>
      <c r="D21" s="323">
        <f>SUM(D18:D20)</f>
        <v>26592</v>
      </c>
      <c r="E21" s="308"/>
    </row>
    <row r="22" spans="1:5" ht="12">
      <c r="A22" s="313" t="s">
        <v>298</v>
      </c>
      <c r="B22" s="318">
        <f>'kostnader bil 3'!B76</f>
        <v>13850</v>
      </c>
      <c r="C22" s="318">
        <f>'[7]verksamplan bil 3'!F77</f>
        <v>13122</v>
      </c>
      <c r="D22" s="319">
        <f>'kostnader bil 3'!D74</f>
        <v>13160</v>
      </c>
      <c r="E22" s="308"/>
    </row>
    <row r="23" spans="1:5" ht="12">
      <c r="A23" s="313"/>
      <c r="B23" s="314"/>
      <c r="C23" s="314"/>
      <c r="D23" s="319"/>
      <c r="E23" s="308"/>
    </row>
    <row r="24" spans="1:7" ht="12">
      <c r="A24" s="321" t="s">
        <v>299</v>
      </c>
      <c r="B24" s="325">
        <f>B21+B22</f>
        <v>44827</v>
      </c>
      <c r="C24" s="325">
        <f>C21+C22</f>
        <v>38840</v>
      </c>
      <c r="D24" s="325">
        <f>+D21+D22</f>
        <v>39752</v>
      </c>
      <c r="E24" s="320"/>
      <c r="F24" s="326"/>
      <c r="G24" s="327"/>
    </row>
    <row r="25" spans="1:5" ht="12">
      <c r="A25" s="324"/>
      <c r="B25" s="324"/>
      <c r="C25" s="324"/>
      <c r="D25" s="328"/>
      <c r="E25" s="308"/>
    </row>
    <row r="26" spans="1:5" ht="12">
      <c r="A26" s="321" t="s">
        <v>300</v>
      </c>
      <c r="B26" s="325">
        <f>+B15-B24</f>
        <v>-702</v>
      </c>
      <c r="C26" s="325">
        <f>+C15-C24</f>
        <v>-760.4400000000023</v>
      </c>
      <c r="D26" s="325">
        <f>+D15-D24</f>
        <v>2678</v>
      </c>
      <c r="E26" s="308"/>
    </row>
    <row r="27" spans="1:5" ht="12">
      <c r="A27" s="329" t="s">
        <v>301</v>
      </c>
      <c r="B27" s="330"/>
      <c r="C27" s="330">
        <f>C26*-1</f>
        <v>760.4400000000023</v>
      </c>
      <c r="D27" s="331"/>
      <c r="E27" s="308"/>
    </row>
    <row r="28" spans="1:5" ht="12">
      <c r="A28" s="321" t="s">
        <v>302</v>
      </c>
      <c r="B28" s="332"/>
      <c r="C28" s="332">
        <f>SUM(C26:C27)</f>
        <v>0</v>
      </c>
      <c r="D28" s="332"/>
      <c r="E28" s="308"/>
    </row>
    <row r="29" spans="1:5" ht="12">
      <c r="A29" s="308"/>
      <c r="B29" s="308"/>
      <c r="C29" s="308"/>
      <c r="D29" s="308"/>
      <c r="E29" s="308"/>
    </row>
    <row r="30" spans="1:5" ht="12">
      <c r="A30" s="308"/>
      <c r="B30" s="308"/>
      <c r="C30" s="308"/>
      <c r="D30" s="308"/>
      <c r="E30" s="308"/>
    </row>
    <row r="31" spans="1:5" ht="12.75" thickBot="1">
      <c r="A31" s="308"/>
      <c r="B31" s="308"/>
      <c r="C31" s="308"/>
      <c r="D31" s="308"/>
      <c r="E31" s="308"/>
    </row>
    <row r="32" spans="1:5" ht="12">
      <c r="A32" s="619" t="s">
        <v>437</v>
      </c>
      <c r="B32" s="494"/>
      <c r="C32" s="308"/>
      <c r="D32" s="308"/>
      <c r="E32" s="308"/>
    </row>
    <row r="33" spans="1:5" ht="12">
      <c r="A33" s="495" t="s">
        <v>443</v>
      </c>
      <c r="B33" s="496">
        <v>42789</v>
      </c>
      <c r="C33" s="320"/>
      <c r="D33" s="308"/>
      <c r="E33" s="308"/>
    </row>
    <row r="34" spans="1:5" ht="12">
      <c r="A34" s="495" t="s">
        <v>444</v>
      </c>
      <c r="B34" s="496">
        <f>'Kostn efter oktmötet bil 5'!B12</f>
        <v>1335</v>
      </c>
      <c r="C34" s="308"/>
      <c r="D34" s="308"/>
      <c r="E34" s="308"/>
    </row>
    <row r="35" spans="1:5" ht="12">
      <c r="A35" s="497" t="s">
        <v>367</v>
      </c>
      <c r="B35" s="498">
        <f>B33+B34</f>
        <v>44124</v>
      </c>
      <c r="C35" s="308"/>
      <c r="D35" s="320"/>
      <c r="E35" s="308"/>
    </row>
    <row r="36" spans="1:5" ht="12">
      <c r="A36" s="308"/>
      <c r="B36" s="308"/>
      <c r="C36" s="308"/>
      <c r="D36" s="308"/>
      <c r="E36" s="636"/>
    </row>
    <row r="37" ht="12.75" thickBot="1">
      <c r="B37" s="327"/>
    </row>
    <row r="38" spans="1:2" ht="12">
      <c r="A38" s="619" t="s">
        <v>436</v>
      </c>
      <c r="B38" s="494"/>
    </row>
    <row r="39" spans="1:3" ht="12">
      <c r="A39" s="495" t="s">
        <v>404</v>
      </c>
      <c r="B39" s="496">
        <f>42034+1613</f>
        <v>43647</v>
      </c>
      <c r="C39" s="327"/>
    </row>
    <row r="40" spans="1:4" ht="12">
      <c r="A40" s="495" t="s">
        <v>445</v>
      </c>
      <c r="B40" s="496">
        <f>'Kostn efter oktmötet bil 5'!B56</f>
        <v>1180</v>
      </c>
      <c r="D40" s="327"/>
    </row>
    <row r="41" spans="1:4" ht="12">
      <c r="A41" s="497" t="s">
        <v>367</v>
      </c>
      <c r="B41" s="498">
        <f>B39+B40</f>
        <v>44827</v>
      </c>
      <c r="C41" s="327"/>
      <c r="D41" s="327"/>
    </row>
    <row r="42" ht="12">
      <c r="D42" s="327"/>
    </row>
  </sheetData>
  <printOptions/>
  <pageMargins left="0.5905511811023623" right="0.3937007874015748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2"/>
  <sheetViews>
    <sheetView showGridLines="0" workbookViewId="0" topLeftCell="A13">
      <selection activeCell="D25" sqref="D25"/>
    </sheetView>
  </sheetViews>
  <sheetFormatPr defaultColWidth="9.140625" defaultRowHeight="12.75"/>
  <cols>
    <col min="1" max="1" width="25.28125" style="161" customWidth="1"/>
    <col min="2" max="2" width="10.28125" style="161" customWidth="1"/>
    <col min="3" max="3" width="11.140625" style="161" customWidth="1"/>
    <col min="4" max="4" width="8.57421875" style="161" customWidth="1"/>
    <col min="5" max="5" width="9.28125" style="161" hidden="1" customWidth="1"/>
    <col min="6" max="6" width="13.7109375" style="162" hidden="1" customWidth="1"/>
    <col min="7" max="7" width="9.421875" style="163" hidden="1" customWidth="1"/>
    <col min="8" max="8" width="10.7109375" style="161" customWidth="1"/>
    <col min="9" max="9" width="12.8515625" style="164" hidden="1" customWidth="1"/>
    <col min="10" max="10" width="10.7109375" style="161" hidden="1" customWidth="1"/>
    <col min="11" max="11" width="9.28125" style="161" hidden="1" customWidth="1"/>
    <col min="12" max="12" width="12.7109375" style="165" hidden="1" customWidth="1"/>
    <col min="13" max="13" width="7.421875" style="161" bestFit="1" customWidth="1"/>
    <col min="14" max="14" width="12.57421875" style="166" customWidth="1"/>
    <col min="15" max="15" width="9.7109375" style="166" customWidth="1"/>
    <col min="16" max="16384" width="10.7109375" style="161" customWidth="1"/>
  </cols>
  <sheetData>
    <row r="1" ht="21" customHeight="1"/>
    <row r="2" spans="1:10" ht="26.25" customHeight="1">
      <c r="A2" s="167"/>
      <c r="B2" s="167"/>
      <c r="C2" s="167"/>
      <c r="H2" s="167"/>
      <c r="I2" s="168"/>
      <c r="J2" s="169"/>
    </row>
    <row r="3" spans="1:8" ht="15.75" customHeight="1">
      <c r="A3" s="170" t="s">
        <v>252</v>
      </c>
      <c r="B3" s="170"/>
      <c r="C3" s="170"/>
      <c r="D3" s="171"/>
      <c r="E3" s="171"/>
      <c r="G3" s="172"/>
      <c r="H3" s="171" t="s">
        <v>303</v>
      </c>
    </row>
    <row r="4" spans="1:8" ht="9" customHeight="1">
      <c r="A4" s="173"/>
      <c r="B4" s="173"/>
      <c r="C4" s="173"/>
      <c r="D4" s="171"/>
      <c r="E4" s="171"/>
      <c r="G4" s="172"/>
      <c r="H4" s="173"/>
    </row>
    <row r="5" spans="1:10" ht="15" customHeight="1">
      <c r="A5" s="174"/>
      <c r="B5" s="174"/>
      <c r="C5" s="174"/>
      <c r="D5" s="175"/>
      <c r="F5" s="176"/>
      <c r="I5" s="177"/>
      <c r="J5" s="178"/>
    </row>
    <row r="6" spans="1:18" ht="12.75">
      <c r="A6" s="179" t="s">
        <v>253</v>
      </c>
      <c r="B6" s="180" t="s">
        <v>31</v>
      </c>
      <c r="C6" s="180" t="s">
        <v>33</v>
      </c>
      <c r="D6" s="181" t="s">
        <v>31</v>
      </c>
      <c r="E6" s="182" t="s">
        <v>32</v>
      </c>
      <c r="F6" s="183" t="s">
        <v>218</v>
      </c>
      <c r="G6" s="184" t="s">
        <v>32</v>
      </c>
      <c r="H6" s="185" t="s">
        <v>32</v>
      </c>
      <c r="I6" s="186" t="s">
        <v>218</v>
      </c>
      <c r="J6" s="187" t="s">
        <v>254</v>
      </c>
      <c r="R6" s="188"/>
    </row>
    <row r="7" spans="1:18" ht="12.75">
      <c r="A7" s="189"/>
      <c r="B7" s="190">
        <v>2006</v>
      </c>
      <c r="C7" s="190">
        <v>2005</v>
      </c>
      <c r="D7" s="191">
        <v>2005</v>
      </c>
      <c r="E7" s="192" t="s">
        <v>255</v>
      </c>
      <c r="F7" s="193" t="s">
        <v>256</v>
      </c>
      <c r="G7" s="194" t="s">
        <v>255</v>
      </c>
      <c r="H7" s="195">
        <v>2004</v>
      </c>
      <c r="I7" s="196" t="s">
        <v>257</v>
      </c>
      <c r="J7" s="197" t="s">
        <v>258</v>
      </c>
      <c r="K7" s="165"/>
      <c r="R7" s="188"/>
    </row>
    <row r="8" spans="1:18" ht="12.75">
      <c r="A8" s="198" t="s">
        <v>259</v>
      </c>
      <c r="B8" s="199"/>
      <c r="C8" s="199"/>
      <c r="D8" s="200"/>
      <c r="E8" s="201"/>
      <c r="F8" s="202"/>
      <c r="G8" s="203"/>
      <c r="H8" s="204"/>
      <c r="I8" s="205"/>
      <c r="J8" s="206"/>
      <c r="O8" s="207"/>
      <c r="R8" s="188"/>
    </row>
    <row r="9" spans="1:18" ht="12.75">
      <c r="A9" s="178" t="s">
        <v>260</v>
      </c>
      <c r="B9" s="208">
        <v>3640</v>
      </c>
      <c r="C9" s="208">
        <v>3970</v>
      </c>
      <c r="D9" s="209">
        <v>4210</v>
      </c>
      <c r="E9" s="201">
        <f>SUM('[6]april'!$B$8)</f>
        <v>3788</v>
      </c>
      <c r="F9" s="210">
        <f>E9/D9</f>
        <v>0.8997624703087886</v>
      </c>
      <c r="G9" s="211">
        <v>5420</v>
      </c>
      <c r="H9" s="212">
        <v>5671</v>
      </c>
      <c r="I9" s="213" t="e">
        <f>G9/#REF!</f>
        <v>#REF!</v>
      </c>
      <c r="J9" s="214">
        <f>+E9/G9</f>
        <v>0.6988929889298893</v>
      </c>
      <c r="K9" s="163">
        <f aca="true" t="shared" si="0" ref="K9:K29">E9-G9</f>
        <v>-1632</v>
      </c>
      <c r="L9" s="165" t="e">
        <f>#REF!/#REF!</f>
        <v>#REF!</v>
      </c>
      <c r="M9" s="163"/>
      <c r="R9" s="188"/>
    </row>
    <row r="10" spans="1:18" ht="12.75">
      <c r="A10" s="178" t="s">
        <v>261</v>
      </c>
      <c r="B10" s="208">
        <v>800</v>
      </c>
      <c r="C10" s="208">
        <v>1220</v>
      </c>
      <c r="D10" s="209">
        <v>1370</v>
      </c>
      <c r="E10" s="201">
        <f>SUM('[6]april'!$B$9)</f>
        <v>1135</v>
      </c>
      <c r="F10" s="210">
        <f>E10/D10</f>
        <v>0.8284671532846716</v>
      </c>
      <c r="G10" s="211">
        <v>1581</v>
      </c>
      <c r="H10" s="212">
        <v>1696</v>
      </c>
      <c r="I10" s="213" t="e">
        <f>G10/#REF!</f>
        <v>#REF!</v>
      </c>
      <c r="J10" s="214">
        <f>+E10/G10</f>
        <v>0.7179000632511069</v>
      </c>
      <c r="K10" s="163">
        <f t="shared" si="0"/>
        <v>-446</v>
      </c>
      <c r="L10" s="165" t="e">
        <f>#REF!/#REF!</f>
        <v>#REF!</v>
      </c>
      <c r="M10" s="163"/>
      <c r="N10" s="215"/>
      <c r="R10" s="188"/>
    </row>
    <row r="11" spans="1:18" ht="12.75">
      <c r="A11" s="178" t="s">
        <v>262</v>
      </c>
      <c r="B11" s="208">
        <f>9450+600</f>
        <v>10050</v>
      </c>
      <c r="C11" s="208">
        <v>7020</v>
      </c>
      <c r="D11" s="209">
        <v>6480</v>
      </c>
      <c r="E11" s="201">
        <f>SUM('[6]april'!$B$10)</f>
        <v>2124</v>
      </c>
      <c r="F11" s="210">
        <f>E11/D11</f>
        <v>0.3277777777777778</v>
      </c>
      <c r="G11" s="211">
        <v>1402</v>
      </c>
      <c r="H11" s="212">
        <v>4679</v>
      </c>
      <c r="I11" s="213" t="e">
        <f>G11/#REF!</f>
        <v>#REF!</v>
      </c>
      <c r="J11" s="214">
        <f>+E11/G11</f>
        <v>1.514978601997147</v>
      </c>
      <c r="K11" s="163">
        <f t="shared" si="0"/>
        <v>722</v>
      </c>
      <c r="L11" s="165" t="e">
        <f>#REF!/#REF!</f>
        <v>#REF!</v>
      </c>
      <c r="M11" s="163"/>
      <c r="N11" s="216"/>
      <c r="R11" s="188"/>
    </row>
    <row r="12" spans="1:18" ht="12.75">
      <c r="A12" s="178" t="s">
        <v>263</v>
      </c>
      <c r="B12" s="217">
        <v>320</v>
      </c>
      <c r="C12" s="217">
        <v>310</v>
      </c>
      <c r="D12" s="218">
        <v>330</v>
      </c>
      <c r="E12" s="219">
        <f>SUM('[6]april'!$B$11)</f>
        <v>140</v>
      </c>
      <c r="F12" s="220">
        <f>E12/D12</f>
        <v>0.42424242424242425</v>
      </c>
      <c r="G12" s="221">
        <v>126</v>
      </c>
      <c r="H12" s="222">
        <v>303</v>
      </c>
      <c r="I12" s="223" t="e">
        <f>G12/#REF!</f>
        <v>#REF!</v>
      </c>
      <c r="J12" s="224">
        <f>+E12/G12</f>
        <v>1.1111111111111112</v>
      </c>
      <c r="K12" s="163">
        <f t="shared" si="0"/>
        <v>14</v>
      </c>
      <c r="L12" s="165" t="e">
        <f>#REF!/#REF!</f>
        <v>#REF!</v>
      </c>
      <c r="M12" s="163"/>
      <c r="R12" s="188"/>
    </row>
    <row r="13" spans="1:18" ht="12.75">
      <c r="A13" s="225" t="s">
        <v>264</v>
      </c>
      <c r="B13" s="226">
        <f>SUM(B9:B12)</f>
        <v>14810</v>
      </c>
      <c r="C13" s="226">
        <f>SUM(C9:C12)</f>
        <v>12520</v>
      </c>
      <c r="D13" s="227">
        <f>SUM(D9:D12)</f>
        <v>12390</v>
      </c>
      <c r="E13" s="228">
        <f>SUM(E9:E12)</f>
        <v>7187</v>
      </c>
      <c r="F13" s="210">
        <f>E13/D13</f>
        <v>0.5800645682001614</v>
      </c>
      <c r="G13" s="229">
        <f>SUM(G9:G12)</f>
        <v>8529</v>
      </c>
      <c r="H13" s="230">
        <f>SUM(H9:H12)</f>
        <v>12349</v>
      </c>
      <c r="I13" s="213" t="e">
        <f>G13/#REF!</f>
        <v>#REF!</v>
      </c>
      <c r="J13" s="214">
        <f>+E13/G13</f>
        <v>0.8426544729745574</v>
      </c>
      <c r="K13" s="163">
        <f t="shared" si="0"/>
        <v>-1342</v>
      </c>
      <c r="L13" s="165" t="e">
        <f>#REF!/#REF!</f>
        <v>#REF!</v>
      </c>
      <c r="M13" s="163"/>
      <c r="R13" s="188"/>
    </row>
    <row r="14" spans="1:18" ht="12.75">
      <c r="A14" s="178"/>
      <c r="B14" s="231"/>
      <c r="C14" s="231"/>
      <c r="D14" s="200"/>
      <c r="E14" s="201"/>
      <c r="F14" s="210"/>
      <c r="G14" s="211"/>
      <c r="H14" s="212"/>
      <c r="I14" s="213"/>
      <c r="J14" s="214"/>
      <c r="K14" s="163">
        <f t="shared" si="0"/>
        <v>0</v>
      </c>
      <c r="L14" s="165" t="e">
        <f>#REF!/#REF!</f>
        <v>#REF!</v>
      </c>
      <c r="M14" s="163"/>
      <c r="R14" s="188"/>
    </row>
    <row r="15" spans="1:18" ht="12.75">
      <c r="A15" s="225" t="s">
        <v>265</v>
      </c>
      <c r="B15" s="232"/>
      <c r="C15" s="232"/>
      <c r="D15" s="233"/>
      <c r="E15" s="201"/>
      <c r="F15" s="210"/>
      <c r="G15" s="211"/>
      <c r="H15" s="204"/>
      <c r="I15" s="213"/>
      <c r="J15" s="214"/>
      <c r="K15" s="163">
        <f t="shared" si="0"/>
        <v>0</v>
      </c>
      <c r="L15" s="165" t="e">
        <f>#REF!/#REF!</f>
        <v>#REF!</v>
      </c>
      <c r="M15" s="163"/>
      <c r="R15" s="188"/>
    </row>
    <row r="16" spans="1:18" ht="12.75">
      <c r="A16" s="178" t="s">
        <v>266</v>
      </c>
      <c r="B16" s="231">
        <v>60</v>
      </c>
      <c r="C16" s="231">
        <v>60</v>
      </c>
      <c r="D16" s="209">
        <v>70</v>
      </c>
      <c r="E16" s="201">
        <f>SUM('[6]april'!$B$38+'[6]april'!$B$39+'[6]april'!$B$40)</f>
        <v>7</v>
      </c>
      <c r="F16" s="210">
        <f>E16/D16</f>
        <v>0.1</v>
      </c>
      <c r="G16" s="211">
        <v>4</v>
      </c>
      <c r="H16" s="212">
        <v>59</v>
      </c>
      <c r="I16" s="213" t="e">
        <f>G16/#REF!</f>
        <v>#REF!</v>
      </c>
      <c r="J16" s="214">
        <f>+E16/G16</f>
        <v>1.75</v>
      </c>
      <c r="K16" s="163">
        <f t="shared" si="0"/>
        <v>3</v>
      </c>
      <c r="L16" s="165" t="e">
        <f>#REF!/#REF!</f>
        <v>#REF!</v>
      </c>
      <c r="M16" s="163"/>
      <c r="R16" s="188"/>
    </row>
    <row r="17" spans="1:18" ht="12.75">
      <c r="A17" s="178" t="s">
        <v>267</v>
      </c>
      <c r="B17" s="231">
        <v>140</v>
      </c>
      <c r="C17" s="231">
        <v>110</v>
      </c>
      <c r="D17" s="209">
        <v>200</v>
      </c>
      <c r="E17" s="201">
        <f>SUM('[6]april'!$B$44)</f>
        <v>55</v>
      </c>
      <c r="F17" s="210">
        <f>E17/D17</f>
        <v>0.275</v>
      </c>
      <c r="G17" s="211">
        <v>0</v>
      </c>
      <c r="H17" s="212">
        <v>110</v>
      </c>
      <c r="I17" s="213" t="e">
        <f>G17/#REF!</f>
        <v>#REF!</v>
      </c>
      <c r="J17" s="214"/>
      <c r="K17" s="163">
        <f t="shared" si="0"/>
        <v>55</v>
      </c>
      <c r="L17" s="165" t="e">
        <f>#REF!/#REF!</f>
        <v>#REF!</v>
      </c>
      <c r="M17" s="163"/>
      <c r="R17" s="188"/>
    </row>
    <row r="18" spans="1:18" ht="12.75">
      <c r="A18" s="178" t="s">
        <v>268</v>
      </c>
      <c r="B18" s="234">
        <v>50</v>
      </c>
      <c r="C18" s="234">
        <v>50</v>
      </c>
      <c r="D18" s="218">
        <v>50</v>
      </c>
      <c r="E18" s="219">
        <f>SUM('[6]april'!$B$30+'[6]april'!$B$41+'[6]april'!$B$43+'[6]april'!$B$47+'[6]april'!$B$48+'[6]april'!$B$50+'[6]april'!$B$51+'[6]april'!$B$52)</f>
        <v>21</v>
      </c>
      <c r="F18" s="220">
        <f>E18/D18</f>
        <v>0.42</v>
      </c>
      <c r="G18" s="221">
        <v>16</v>
      </c>
      <c r="H18" s="222">
        <v>46</v>
      </c>
      <c r="I18" s="223" t="e">
        <f>G18/#REF!</f>
        <v>#REF!</v>
      </c>
      <c r="J18" s="224">
        <f>+E18/G18</f>
        <v>1.3125</v>
      </c>
      <c r="K18" s="163">
        <f t="shared" si="0"/>
        <v>5</v>
      </c>
      <c r="L18" s="165" t="e">
        <f>#REF!/#REF!</f>
        <v>#REF!</v>
      </c>
      <c r="M18" s="163"/>
      <c r="R18" s="188"/>
    </row>
    <row r="19" spans="1:18" ht="12.75">
      <c r="A19" s="225" t="s">
        <v>269</v>
      </c>
      <c r="B19" s="226">
        <f>SUM(B16:B18)</f>
        <v>250</v>
      </c>
      <c r="C19" s="226">
        <f>SUM(C16:C18)</f>
        <v>220</v>
      </c>
      <c r="D19" s="235">
        <f>SUM(D16:D18)</f>
        <v>320</v>
      </c>
      <c r="E19" s="228">
        <f>SUM(E16:E18)</f>
        <v>83</v>
      </c>
      <c r="F19" s="210">
        <f>E19/D19</f>
        <v>0.259375</v>
      </c>
      <c r="G19" s="236">
        <f>SUM(G16:G18)</f>
        <v>20</v>
      </c>
      <c r="H19" s="230">
        <f>SUM(H16:H18)</f>
        <v>215</v>
      </c>
      <c r="I19" s="213" t="e">
        <f>G19/#REF!</f>
        <v>#REF!</v>
      </c>
      <c r="J19" s="214">
        <f>+E19/G19</f>
        <v>4.15</v>
      </c>
      <c r="K19" s="163">
        <f t="shared" si="0"/>
        <v>63</v>
      </c>
      <c r="L19" s="165" t="e">
        <f>#REF!/#REF!</f>
        <v>#REF!</v>
      </c>
      <c r="M19" s="163"/>
      <c r="R19" s="188"/>
    </row>
    <row r="20" spans="1:18" ht="9" customHeight="1">
      <c r="A20" s="178"/>
      <c r="B20" s="231"/>
      <c r="C20" s="231"/>
      <c r="D20" s="200"/>
      <c r="E20" s="201"/>
      <c r="F20" s="210"/>
      <c r="G20" s="211"/>
      <c r="H20" s="212"/>
      <c r="I20" s="213"/>
      <c r="J20" s="214"/>
      <c r="K20" s="163">
        <f t="shared" si="0"/>
        <v>0</v>
      </c>
      <c r="L20" s="165" t="e">
        <f>#REF!/#REF!</f>
        <v>#REF!</v>
      </c>
      <c r="M20" s="163"/>
      <c r="R20" s="188"/>
    </row>
    <row r="21" spans="1:18" ht="12.75">
      <c r="A21" s="198" t="s">
        <v>270</v>
      </c>
      <c r="B21" s="232"/>
      <c r="C21" s="232"/>
      <c r="D21" s="200"/>
      <c r="E21" s="201"/>
      <c r="F21" s="210"/>
      <c r="G21" s="211"/>
      <c r="H21" s="204"/>
      <c r="I21" s="213"/>
      <c r="J21" s="214"/>
      <c r="K21" s="163">
        <f t="shared" si="0"/>
        <v>0</v>
      </c>
      <c r="L21" s="165" t="e">
        <f>#REF!/#REF!</f>
        <v>#REF!</v>
      </c>
      <c r="M21" s="163"/>
      <c r="R21" s="188"/>
    </row>
    <row r="22" spans="1:18" ht="12.75">
      <c r="A22" s="178" t="s">
        <v>176</v>
      </c>
      <c r="B22" s="231">
        <v>70</v>
      </c>
      <c r="C22" s="231">
        <v>70</v>
      </c>
      <c r="D22" s="209">
        <v>70</v>
      </c>
      <c r="E22" s="201">
        <f>SUM('[6]april'!$B$37)</f>
        <v>65</v>
      </c>
      <c r="F22" s="210">
        <f>E22/D22</f>
        <v>0.9285714285714286</v>
      </c>
      <c r="G22" s="211">
        <v>67</v>
      </c>
      <c r="H22" s="212">
        <v>69</v>
      </c>
      <c r="I22" s="213" t="e">
        <f>G22/#REF!</f>
        <v>#REF!</v>
      </c>
      <c r="J22" s="214">
        <f>+E22/G22</f>
        <v>0.9701492537313433</v>
      </c>
      <c r="K22" s="163">
        <f t="shared" si="0"/>
        <v>-2</v>
      </c>
      <c r="L22" s="165" t="e">
        <f>#REF!/#REF!</f>
        <v>#REF!</v>
      </c>
      <c r="M22" s="163"/>
      <c r="R22" s="188"/>
    </row>
    <row r="23" spans="1:18" ht="12.75">
      <c r="A23" s="178" t="s">
        <v>51</v>
      </c>
      <c r="B23" s="234">
        <v>440</v>
      </c>
      <c r="C23" s="234">
        <v>330</v>
      </c>
      <c r="D23" s="218">
        <v>380</v>
      </c>
      <c r="E23" s="219">
        <f>SUM('[6]april'!$B$42)</f>
        <v>315</v>
      </c>
      <c r="F23" s="220">
        <f>E23/D23</f>
        <v>0.8289473684210527</v>
      </c>
      <c r="G23" s="221">
        <v>343</v>
      </c>
      <c r="H23" s="222">
        <v>378</v>
      </c>
      <c r="I23" s="223" t="e">
        <f>G23/#REF!</f>
        <v>#REF!</v>
      </c>
      <c r="J23" s="224">
        <f>+E23/G23</f>
        <v>0.9183673469387755</v>
      </c>
      <c r="K23" s="163">
        <f t="shared" si="0"/>
        <v>-28</v>
      </c>
      <c r="L23" s="165" t="e">
        <f>#REF!/#REF!</f>
        <v>#REF!</v>
      </c>
      <c r="M23" s="163"/>
      <c r="R23" s="188"/>
    </row>
    <row r="24" spans="1:18" ht="12.75">
      <c r="A24" s="225" t="s">
        <v>271</v>
      </c>
      <c r="B24" s="237">
        <f>SUM(B22:B23)</f>
        <v>510</v>
      </c>
      <c r="C24" s="237">
        <f>SUM(C22:C23)</f>
        <v>400</v>
      </c>
      <c r="D24" s="227">
        <f>SUM(D22:D23)</f>
        <v>450</v>
      </c>
      <c r="E24" s="238">
        <f>SUM(E22:E23)</f>
        <v>380</v>
      </c>
      <c r="F24" s="210">
        <f>E24/D24</f>
        <v>0.8444444444444444</v>
      </c>
      <c r="G24" s="236">
        <f>SUM(G22:G23)</f>
        <v>410</v>
      </c>
      <c r="H24" s="230">
        <f>SUM(H22:H23)</f>
        <v>447</v>
      </c>
      <c r="I24" s="213" t="e">
        <f>G24/#REF!</f>
        <v>#REF!</v>
      </c>
      <c r="J24" s="214">
        <f>+E24/G24</f>
        <v>0.926829268292683</v>
      </c>
      <c r="K24" s="163">
        <f t="shared" si="0"/>
        <v>-30</v>
      </c>
      <c r="L24" s="165" t="e">
        <f>#REF!/#REF!</f>
        <v>#REF!</v>
      </c>
      <c r="M24" s="163"/>
      <c r="N24" s="215"/>
      <c r="R24" s="188"/>
    </row>
    <row r="25" spans="1:18" ht="12.75">
      <c r="A25" s="225"/>
      <c r="B25" s="232"/>
      <c r="C25" s="232"/>
      <c r="D25" s="227"/>
      <c r="E25" s="238"/>
      <c r="F25" s="210"/>
      <c r="G25" s="236"/>
      <c r="H25" s="204"/>
      <c r="I25" s="213"/>
      <c r="J25" s="214"/>
      <c r="K25" s="163">
        <f t="shared" si="0"/>
        <v>0</v>
      </c>
      <c r="L25" s="165" t="e">
        <f>#REF!/#REF!</f>
        <v>#REF!</v>
      </c>
      <c r="M25" s="163"/>
      <c r="N25" s="215"/>
      <c r="R25" s="188"/>
    </row>
    <row r="26" spans="1:18" ht="6.75" customHeight="1">
      <c r="A26" s="178"/>
      <c r="B26" s="231"/>
      <c r="C26" s="231"/>
      <c r="D26" s="200"/>
      <c r="E26" s="201"/>
      <c r="F26" s="210"/>
      <c r="G26" s="211"/>
      <c r="H26" s="212"/>
      <c r="I26" s="213"/>
      <c r="J26" s="214"/>
      <c r="K26" s="163">
        <f t="shared" si="0"/>
        <v>0</v>
      </c>
      <c r="L26" s="165" t="e">
        <f>#REF!/#REF!</f>
        <v>#REF!</v>
      </c>
      <c r="M26" s="163"/>
      <c r="R26" s="188"/>
    </row>
    <row r="27" spans="1:18" ht="10.5" customHeight="1">
      <c r="A27" s="198" t="s">
        <v>272</v>
      </c>
      <c r="B27" s="232"/>
      <c r="C27" s="232"/>
      <c r="D27" s="200"/>
      <c r="E27" s="201"/>
      <c r="F27" s="210"/>
      <c r="G27" s="211"/>
      <c r="H27" s="204"/>
      <c r="I27" s="213"/>
      <c r="J27" s="214"/>
      <c r="K27" s="163">
        <f t="shared" si="0"/>
        <v>0</v>
      </c>
      <c r="L27" s="165" t="e">
        <f>#REF!/#REF!</f>
        <v>#REF!</v>
      </c>
      <c r="M27" s="163"/>
      <c r="R27" s="188"/>
    </row>
    <row r="28" spans="1:18" ht="12.75">
      <c r="A28" s="239" t="s">
        <v>273</v>
      </c>
      <c r="B28" s="240">
        <v>2700</v>
      </c>
      <c r="C28" s="240">
        <v>2700</v>
      </c>
      <c r="D28" s="200">
        <v>2800</v>
      </c>
      <c r="E28" s="201">
        <f>SUM('[6]april'!$B$27+'[6]april'!$B$28+'[6]april'!$B$29+'[6]april'!$B$35)</f>
        <v>793</v>
      </c>
      <c r="F28" s="210">
        <f>E28/D28</f>
        <v>0.2832142857142857</v>
      </c>
      <c r="G28" s="211">
        <v>806</v>
      </c>
      <c r="H28" s="241">
        <v>2831</v>
      </c>
      <c r="I28" s="213" t="e">
        <f>G28/#REF!</f>
        <v>#REF!</v>
      </c>
      <c r="J28" s="214">
        <f>+E28/G28</f>
        <v>0.9838709677419355</v>
      </c>
      <c r="K28" s="163">
        <f t="shared" si="0"/>
        <v>-13</v>
      </c>
      <c r="L28" s="165" t="e">
        <f>#REF!/#REF!</f>
        <v>#REF!</v>
      </c>
      <c r="M28" s="163"/>
      <c r="N28" s="215"/>
      <c r="R28" s="188"/>
    </row>
    <row r="29" spans="1:18" ht="12.75">
      <c r="A29" s="239" t="s">
        <v>274</v>
      </c>
      <c r="B29" s="240">
        <v>450</v>
      </c>
      <c r="C29" s="240">
        <v>370</v>
      </c>
      <c r="D29" s="200">
        <v>500</v>
      </c>
      <c r="E29" s="201">
        <f>SUM('[6]april'!$B$26+'[6]april'!$B$33+'[6]april'!$B$34)</f>
        <v>144</v>
      </c>
      <c r="F29" s="210">
        <f>E29/D29</f>
        <v>0.288</v>
      </c>
      <c r="G29" s="211">
        <v>145</v>
      </c>
      <c r="H29" s="241">
        <v>449</v>
      </c>
      <c r="I29" s="213" t="e">
        <f>G29/#REF!</f>
        <v>#REF!</v>
      </c>
      <c r="J29" s="214">
        <f>+E29/G29</f>
        <v>0.993103448275862</v>
      </c>
      <c r="K29" s="163">
        <f t="shared" si="0"/>
        <v>-1</v>
      </c>
      <c r="L29" s="165" t="e">
        <f>#REF!/#REF!</f>
        <v>#REF!</v>
      </c>
      <c r="M29" s="163"/>
      <c r="R29" s="188"/>
    </row>
    <row r="30" spans="1:18" ht="12.75">
      <c r="A30" s="239" t="s">
        <v>275</v>
      </c>
      <c r="B30" s="240">
        <v>600</v>
      </c>
      <c r="C30" s="240">
        <v>860</v>
      </c>
      <c r="D30" s="200"/>
      <c r="E30" s="201">
        <f>SUM('[6]april'!$B$46)</f>
        <v>26</v>
      </c>
      <c r="F30" s="210"/>
      <c r="G30" s="211"/>
      <c r="H30" s="241"/>
      <c r="I30" s="213"/>
      <c r="J30" s="214"/>
      <c r="K30" s="163"/>
      <c r="M30" s="163"/>
      <c r="R30" s="188"/>
    </row>
    <row r="31" spans="1:18" ht="12.75">
      <c r="A31" s="239" t="s">
        <v>276</v>
      </c>
      <c r="B31" s="240">
        <v>250</v>
      </c>
      <c r="C31" s="240">
        <v>200</v>
      </c>
      <c r="D31" s="200">
        <v>250</v>
      </c>
      <c r="E31" s="201">
        <f>SUM('[6]april'!$B$25+'[6]april'!$B$45)</f>
        <v>0</v>
      </c>
      <c r="F31" s="210">
        <f>E31/D31</f>
        <v>0</v>
      </c>
      <c r="G31" s="211">
        <v>109</v>
      </c>
      <c r="H31" s="241">
        <v>323</v>
      </c>
      <c r="I31" s="213" t="e">
        <f>G31/#REF!</f>
        <v>#REF!</v>
      </c>
      <c r="J31" s="214">
        <f>+E31/G31</f>
        <v>0</v>
      </c>
      <c r="K31" s="163">
        <f>E31-G31</f>
        <v>-109</v>
      </c>
      <c r="L31" s="165" t="e">
        <f>#REF!/#REF!</f>
        <v>#REF!</v>
      </c>
      <c r="M31" s="163"/>
      <c r="R31" s="188"/>
    </row>
    <row r="32" spans="1:18" ht="12.75">
      <c r="A32" s="239" t="s">
        <v>277</v>
      </c>
      <c r="B32" s="240">
        <v>290</v>
      </c>
      <c r="C32" s="240">
        <v>290</v>
      </c>
      <c r="D32" s="200">
        <v>300</v>
      </c>
      <c r="E32" s="201">
        <f>SUM('[6]april'!$B$23+'[6]april'!$B$24)</f>
        <v>118</v>
      </c>
      <c r="F32" s="210">
        <f>E32/D32</f>
        <v>0.3933333333333333</v>
      </c>
      <c r="G32" s="211">
        <v>158</v>
      </c>
      <c r="H32" s="241">
        <v>331</v>
      </c>
      <c r="I32" s="213" t="e">
        <f>G32/#REF!</f>
        <v>#REF!</v>
      </c>
      <c r="J32" s="214">
        <f>+E32/G32</f>
        <v>0.7468354430379747</v>
      </c>
      <c r="K32" s="163">
        <f>E32-G32</f>
        <v>-40</v>
      </c>
      <c r="L32" s="165" t="e">
        <f>#REF!/#REF!</f>
        <v>#REF!</v>
      </c>
      <c r="M32" s="163"/>
      <c r="N32" s="242"/>
      <c r="R32" s="188"/>
    </row>
    <row r="33" spans="1:18" ht="4.5" customHeight="1">
      <c r="A33" s="239"/>
      <c r="B33" s="240"/>
      <c r="C33" s="240"/>
      <c r="D33" s="200"/>
      <c r="E33" s="201"/>
      <c r="F33" s="210"/>
      <c r="G33" s="211"/>
      <c r="H33" s="241"/>
      <c r="I33" s="213"/>
      <c r="J33" s="214"/>
      <c r="K33" s="163"/>
      <c r="M33" s="163"/>
      <c r="N33" s="242"/>
      <c r="R33" s="188"/>
    </row>
    <row r="34" spans="1:18" ht="12.75">
      <c r="A34" s="239" t="s">
        <v>278</v>
      </c>
      <c r="B34" s="240">
        <v>3000</v>
      </c>
      <c r="C34" s="240">
        <v>3500</v>
      </c>
      <c r="D34" s="200">
        <v>3800</v>
      </c>
      <c r="E34" s="201">
        <f>SUM('[6]april'!$B$13)</f>
        <v>949</v>
      </c>
      <c r="F34" s="210">
        <f>E34/D34</f>
        <v>0.24973684210526315</v>
      </c>
      <c r="G34" s="211">
        <v>1112</v>
      </c>
      <c r="H34" s="241">
        <v>4378</v>
      </c>
      <c r="I34" s="213" t="e">
        <f>G34/#REF!</f>
        <v>#REF!</v>
      </c>
      <c r="J34" s="214">
        <f>+E34/G34</f>
        <v>0.8534172661870504</v>
      </c>
      <c r="K34" s="163">
        <f>E34-G34</f>
        <v>-163</v>
      </c>
      <c r="L34" s="165" t="e">
        <f>#REF!/#REF!</f>
        <v>#REF!</v>
      </c>
      <c r="M34" s="163"/>
      <c r="R34" s="188"/>
    </row>
    <row r="35" spans="1:18" ht="12.75">
      <c r="A35" s="239" t="s">
        <v>279</v>
      </c>
      <c r="B35" s="240">
        <f>15730+825</f>
        <v>16555</v>
      </c>
      <c r="C35" s="240">
        <v>12700</v>
      </c>
      <c r="D35" s="200">
        <v>12670</v>
      </c>
      <c r="E35" s="201">
        <f>SUM('[6]april'!$B$12+'[6]april'!$B$16)</f>
        <v>3876</v>
      </c>
      <c r="F35" s="210">
        <f>E35/D35</f>
        <v>0.3059194948697711</v>
      </c>
      <c r="G35" s="211">
        <v>3150</v>
      </c>
      <c r="H35" s="241">
        <v>10395</v>
      </c>
      <c r="I35" s="213" t="e">
        <f>G35/#REF!</f>
        <v>#REF!</v>
      </c>
      <c r="J35" s="214">
        <f>+E35/G35</f>
        <v>1.2304761904761905</v>
      </c>
      <c r="K35" s="163">
        <f>E35-G35</f>
        <v>726</v>
      </c>
      <c r="L35" s="165" t="e">
        <f>#REF!/#REF!</f>
        <v>#REF!</v>
      </c>
      <c r="M35" s="163"/>
      <c r="R35" s="188"/>
    </row>
    <row r="36" spans="1:18" ht="12.75">
      <c r="A36" s="239" t="s">
        <v>280</v>
      </c>
      <c r="B36" s="240">
        <v>1300</v>
      </c>
      <c r="C36" s="240">
        <v>1000</v>
      </c>
      <c r="D36" s="200">
        <v>1200</v>
      </c>
      <c r="E36" s="201">
        <f>SUM('[6]april'!$B$17+'[6]april'!$B$20+'[6]april'!$B$31+'[6]april'!$B$32)</f>
        <v>421</v>
      </c>
      <c r="F36" s="210">
        <f>E36/D36</f>
        <v>0.35083333333333333</v>
      </c>
      <c r="G36" s="211">
        <v>611</v>
      </c>
      <c r="H36" s="241">
        <v>1355</v>
      </c>
      <c r="I36" s="213" t="e">
        <f>G36/#REF!</f>
        <v>#REF!</v>
      </c>
      <c r="J36" s="214">
        <f>+E36/G36</f>
        <v>0.6890343698854338</v>
      </c>
      <c r="K36" s="163">
        <f>E36-G36</f>
        <v>-190</v>
      </c>
      <c r="L36" s="165" t="e">
        <f>#REF!/#REF!</f>
        <v>#REF!</v>
      </c>
      <c r="M36" s="163"/>
      <c r="N36" s="243"/>
      <c r="O36" s="243"/>
      <c r="P36" s="244"/>
      <c r="Q36" s="245"/>
      <c r="R36" s="188"/>
    </row>
    <row r="37" spans="1:18" ht="4.5" customHeight="1">
      <c r="A37" s="239"/>
      <c r="B37" s="240"/>
      <c r="C37" s="240"/>
      <c r="D37" s="200"/>
      <c r="E37" s="201"/>
      <c r="F37" s="210"/>
      <c r="G37" s="211"/>
      <c r="H37" s="241"/>
      <c r="I37" s="213"/>
      <c r="J37" s="214"/>
      <c r="K37" s="163"/>
      <c r="M37" s="163"/>
      <c r="N37" s="243"/>
      <c r="O37" s="243"/>
      <c r="P37" s="244"/>
      <c r="Q37" s="245"/>
      <c r="R37" s="188"/>
    </row>
    <row r="38" spans="1:18" ht="12.75">
      <c r="A38" s="239" t="s">
        <v>281</v>
      </c>
      <c r="B38" s="240">
        <v>3940</v>
      </c>
      <c r="C38" s="240">
        <v>6170</v>
      </c>
      <c r="D38" s="200">
        <v>3675</v>
      </c>
      <c r="E38" s="201">
        <f>SUM('[6]april'!$B$21)</f>
        <v>0</v>
      </c>
      <c r="F38" s="210">
        <f>E38/D38</f>
        <v>0</v>
      </c>
      <c r="G38" s="211">
        <v>0</v>
      </c>
      <c r="H38" s="241">
        <v>5719</v>
      </c>
      <c r="I38" s="213" t="e">
        <f>G38/#REF!</f>
        <v>#REF!</v>
      </c>
      <c r="J38" s="214"/>
      <c r="K38" s="163">
        <f>E38-G38</f>
        <v>0</v>
      </c>
      <c r="L38" s="165" t="e">
        <f>#REF!/#REF!</f>
        <v>#REF!</v>
      </c>
      <c r="M38" s="163"/>
      <c r="N38" s="243"/>
      <c r="O38" s="243"/>
      <c r="P38" s="244"/>
      <c r="Q38" s="245"/>
      <c r="R38" s="188"/>
    </row>
    <row r="39" spans="1:14" ht="12.75">
      <c r="A39" s="239" t="s">
        <v>282</v>
      </c>
      <c r="B39" s="240">
        <v>270</v>
      </c>
      <c r="C39" s="240">
        <v>290</v>
      </c>
      <c r="D39" s="200">
        <v>265</v>
      </c>
      <c r="E39" s="201">
        <f>SUM('[6]april'!$B$22)</f>
        <v>0</v>
      </c>
      <c r="F39" s="210">
        <f>E39/D39</f>
        <v>0</v>
      </c>
      <c r="G39" s="211">
        <v>0</v>
      </c>
      <c r="H39" s="241">
        <v>300</v>
      </c>
      <c r="I39" s="213" t="e">
        <f>G39/#REF!</f>
        <v>#REF!</v>
      </c>
      <c r="J39" s="214"/>
      <c r="K39" s="163">
        <f>E39-G39</f>
        <v>0</v>
      </c>
      <c r="L39" s="165" t="e">
        <f>#REF!/#REF!</f>
        <v>#REF!</v>
      </c>
      <c r="M39" s="163"/>
      <c r="N39" s="215"/>
    </row>
    <row r="40" spans="1:13" ht="12.75">
      <c r="A40" s="239" t="s">
        <v>145</v>
      </c>
      <c r="B40" s="240">
        <v>1600</v>
      </c>
      <c r="C40" s="240">
        <v>3850</v>
      </c>
      <c r="D40" s="200">
        <v>1400</v>
      </c>
      <c r="E40" s="201">
        <f>SUM('[6]april'!$B$14)</f>
        <v>685</v>
      </c>
      <c r="F40" s="210">
        <f>E40/D40</f>
        <v>0.48928571428571427</v>
      </c>
      <c r="G40" s="211">
        <v>330</v>
      </c>
      <c r="H40" s="241">
        <v>1024</v>
      </c>
      <c r="I40" s="213" t="e">
        <f>G40/#REF!</f>
        <v>#REF!</v>
      </c>
      <c r="J40" s="214">
        <f>+E40/G40</f>
        <v>2.0757575757575757</v>
      </c>
      <c r="K40" s="163">
        <f>E40-G40</f>
        <v>355</v>
      </c>
      <c r="L40" s="165" t="e">
        <f>#REF!/#REF!</f>
        <v>#REF!</v>
      </c>
      <c r="M40" s="163"/>
    </row>
    <row r="41" spans="1:13" ht="12.75">
      <c r="A41" s="239" t="s">
        <v>283</v>
      </c>
      <c r="B41" s="240">
        <v>700</v>
      </c>
      <c r="C41" s="240">
        <v>550</v>
      </c>
      <c r="D41" s="200">
        <v>780</v>
      </c>
      <c r="E41" s="201">
        <f>SUM('[6]april'!$B$15+'[6]april'!$B$18+'[6]april'!$B$19)</f>
        <v>200</v>
      </c>
      <c r="F41" s="210">
        <f>E41/D41</f>
        <v>0.2564102564102564</v>
      </c>
      <c r="G41" s="211">
        <v>274</v>
      </c>
      <c r="H41" s="241">
        <v>825</v>
      </c>
      <c r="I41" s="213" t="e">
        <f>G41/#REF!</f>
        <v>#REF!</v>
      </c>
      <c r="J41" s="214">
        <f>+E41/G41</f>
        <v>0.7299270072992701</v>
      </c>
      <c r="K41" s="163">
        <f>E41-G41</f>
        <v>-74</v>
      </c>
      <c r="L41" s="165" t="e">
        <f>#REF!/#REF!</f>
        <v>#REF!</v>
      </c>
      <c r="M41" s="163"/>
    </row>
    <row r="42" spans="1:13" ht="4.5" customHeight="1">
      <c r="A42" s="239"/>
      <c r="B42" s="240"/>
      <c r="C42" s="240"/>
      <c r="D42" s="200"/>
      <c r="E42" s="201"/>
      <c r="F42" s="210"/>
      <c r="G42" s="211"/>
      <c r="H42" s="241"/>
      <c r="I42" s="213"/>
      <c r="J42" s="214"/>
      <c r="K42" s="163"/>
      <c r="M42" s="163"/>
    </row>
    <row r="43" spans="1:15" s="256" customFormat="1" ht="12.75">
      <c r="A43" s="246" t="s">
        <v>284</v>
      </c>
      <c r="B43" s="247">
        <v>-3370</v>
      </c>
      <c r="C43" s="248">
        <v>-3440</v>
      </c>
      <c r="D43" s="249">
        <v>-2990</v>
      </c>
      <c r="E43" s="250">
        <f>SUM('[6]april'!$B$36)</f>
        <v>-746</v>
      </c>
      <c r="F43" s="220">
        <f>E43/D43</f>
        <v>0.24949832775919734</v>
      </c>
      <c r="G43" s="251">
        <v>-698</v>
      </c>
      <c r="H43" s="252">
        <v>-3000</v>
      </c>
      <c r="I43" s="223" t="e">
        <f>G43/#REF!</f>
        <v>#REF!</v>
      </c>
      <c r="J43" s="224">
        <f>+E43/G43</f>
        <v>1.0687679083094557</v>
      </c>
      <c r="K43" s="253">
        <f aca="true" t="shared" si="1" ref="K43:K51">E43-G43</f>
        <v>-48</v>
      </c>
      <c r="L43" s="254" t="e">
        <f>#REF!/#REF!</f>
        <v>#REF!</v>
      </c>
      <c r="M43" s="163"/>
      <c r="N43" s="255"/>
      <c r="O43" s="255"/>
    </row>
    <row r="44" spans="1:13" ht="12.75">
      <c r="A44" s="225" t="s">
        <v>285</v>
      </c>
      <c r="B44" s="226">
        <f>SUM(B28:B43)</f>
        <v>28285</v>
      </c>
      <c r="C44" s="226">
        <f>SUM(C28:C43)</f>
        <v>29040</v>
      </c>
      <c r="D44" s="227">
        <f>SUM(D28:D43)</f>
        <v>24650</v>
      </c>
      <c r="E44" s="228">
        <f>SUM(E28:E43)</f>
        <v>6466</v>
      </c>
      <c r="F44" s="210">
        <f>E44/D44</f>
        <v>0.2623123732251521</v>
      </c>
      <c r="G44" s="236">
        <f>SUM(G28:G43)</f>
        <v>5997</v>
      </c>
      <c r="H44" s="230">
        <f>SUM(H28:H43)</f>
        <v>24930</v>
      </c>
      <c r="I44" s="213" t="e">
        <f>G44/#REF!</f>
        <v>#REF!</v>
      </c>
      <c r="J44" s="214">
        <f>+E44/G44</f>
        <v>1.0782057695514424</v>
      </c>
      <c r="K44" s="163">
        <f t="shared" si="1"/>
        <v>469</v>
      </c>
      <c r="L44" s="165" t="e">
        <f>#REF!/#REF!</f>
        <v>#REF!</v>
      </c>
      <c r="M44" s="163"/>
    </row>
    <row r="45" spans="1:13" ht="6.75" customHeight="1">
      <c r="A45" s="178"/>
      <c r="B45" s="231"/>
      <c r="C45" s="231"/>
      <c r="D45" s="200"/>
      <c r="E45" s="201"/>
      <c r="F45" s="210"/>
      <c r="G45" s="211"/>
      <c r="H45" s="212"/>
      <c r="I45" s="213"/>
      <c r="J45" s="214"/>
      <c r="K45" s="163">
        <f t="shared" si="1"/>
        <v>0</v>
      </c>
      <c r="L45" s="165" t="e">
        <f>#REF!/#REF!</f>
        <v>#REF!</v>
      </c>
      <c r="M45" s="163"/>
    </row>
    <row r="46" spans="1:14" ht="12.75">
      <c r="A46" s="198" t="s">
        <v>118</v>
      </c>
      <c r="B46" s="232"/>
      <c r="C46" s="232"/>
      <c r="D46" s="200"/>
      <c r="E46" s="201"/>
      <c r="F46" s="210"/>
      <c r="G46" s="211"/>
      <c r="H46" s="204"/>
      <c r="I46" s="213"/>
      <c r="J46" s="214"/>
      <c r="K46" s="163">
        <f t="shared" si="1"/>
        <v>0</v>
      </c>
      <c r="L46" s="165" t="e">
        <f>#REF!/#REF!</f>
        <v>#REF!</v>
      </c>
      <c r="M46" s="163"/>
      <c r="N46" s="215"/>
    </row>
    <row r="47" spans="1:14" ht="12.75">
      <c r="A47" s="178" t="s">
        <v>286</v>
      </c>
      <c r="B47" s="231">
        <v>250</v>
      </c>
      <c r="C47" s="231">
        <v>230</v>
      </c>
      <c r="D47" s="233">
        <v>250</v>
      </c>
      <c r="E47" s="201">
        <f>SUM('[6]april'!$B$55+'[6]april'!$B$56)</f>
        <v>0</v>
      </c>
      <c r="F47" s="210">
        <f>E47/D47</f>
        <v>0</v>
      </c>
      <c r="G47" s="211">
        <v>0</v>
      </c>
      <c r="H47" s="212">
        <v>200</v>
      </c>
      <c r="I47" s="213" t="e">
        <f>G47/#REF!</f>
        <v>#REF!</v>
      </c>
      <c r="J47" s="214"/>
      <c r="K47" s="163">
        <f t="shared" si="1"/>
        <v>0</v>
      </c>
      <c r="L47" s="165" t="e">
        <f>#REF!/#REF!</f>
        <v>#REF!</v>
      </c>
      <c r="M47" s="163"/>
      <c r="N47" s="215"/>
    </row>
    <row r="48" spans="1:13" ht="12.75">
      <c r="A48" s="178" t="s">
        <v>287</v>
      </c>
      <c r="B48" s="234">
        <v>20</v>
      </c>
      <c r="C48" s="234">
        <v>20</v>
      </c>
      <c r="D48" s="257">
        <v>20</v>
      </c>
      <c r="E48" s="219">
        <f>SUM('[6]april'!$B$49+'[6]april'!$B$53+'[6]april'!$B$54)</f>
        <v>1</v>
      </c>
      <c r="F48" s="220">
        <f>E48/D48</f>
        <v>0.05</v>
      </c>
      <c r="G48" s="221">
        <v>3</v>
      </c>
      <c r="H48" s="222">
        <v>13</v>
      </c>
      <c r="I48" s="223"/>
      <c r="J48" s="224">
        <f>+E48/G48</f>
        <v>0.3333333333333333</v>
      </c>
      <c r="K48" s="163">
        <f t="shared" si="1"/>
        <v>-2</v>
      </c>
      <c r="L48" s="165" t="e">
        <f>#REF!/#REF!</f>
        <v>#REF!</v>
      </c>
      <c r="M48" s="163"/>
    </row>
    <row r="49" spans="1:13" ht="12.75">
      <c r="A49" s="225" t="s">
        <v>288</v>
      </c>
      <c r="B49" s="226">
        <f>SUM(B47:B48)</f>
        <v>270</v>
      </c>
      <c r="C49" s="226">
        <f>SUM(C47:C48)</f>
        <v>250</v>
      </c>
      <c r="D49" s="235">
        <f>SUM(D47:D48)</f>
        <v>270</v>
      </c>
      <c r="E49" s="228">
        <f>SUM(E47:E48)</f>
        <v>1</v>
      </c>
      <c r="F49" s="210">
        <f>E49/D49</f>
        <v>0.003703703703703704</v>
      </c>
      <c r="G49" s="236">
        <f>SUM(G47:G48)</f>
        <v>3</v>
      </c>
      <c r="H49" s="230">
        <f>SUM(H47:H48)</f>
        <v>213</v>
      </c>
      <c r="I49" s="213" t="e">
        <f>G49/#REF!</f>
        <v>#REF!</v>
      </c>
      <c r="J49" s="214">
        <f>+E49/G49</f>
        <v>0.3333333333333333</v>
      </c>
      <c r="K49" s="163">
        <f t="shared" si="1"/>
        <v>-2</v>
      </c>
      <c r="L49" s="165" t="e">
        <f>#REF!/#REF!</f>
        <v>#REF!</v>
      </c>
      <c r="M49" s="163"/>
    </row>
    <row r="50" spans="1:13" ht="12.75">
      <c r="A50" s="178"/>
      <c r="B50" s="231"/>
      <c r="C50" s="231"/>
      <c r="D50" s="200"/>
      <c r="E50" s="201"/>
      <c r="F50" s="220"/>
      <c r="G50" s="211"/>
      <c r="H50" s="212"/>
      <c r="I50" s="223"/>
      <c r="J50" s="214"/>
      <c r="K50" s="163">
        <f t="shared" si="1"/>
        <v>0</v>
      </c>
      <c r="L50" s="165" t="e">
        <f>#REF!/#REF!</f>
        <v>#REF!</v>
      </c>
      <c r="M50" s="163"/>
    </row>
    <row r="51" spans="1:14" ht="12.75">
      <c r="A51" s="258" t="s">
        <v>289</v>
      </c>
      <c r="B51" s="259">
        <f>+B13+B19+B24+B44+B49</f>
        <v>44125</v>
      </c>
      <c r="C51" s="259">
        <f>+C13+C19+C24+C44+C49</f>
        <v>42430</v>
      </c>
      <c r="D51" s="259">
        <f>SUM(D13+D19+D24+D44+D49)</f>
        <v>38080</v>
      </c>
      <c r="E51" s="260">
        <f>+E13+E19+E24+E44+E49</f>
        <v>14117</v>
      </c>
      <c r="F51" s="261">
        <f>E51/D51</f>
        <v>0.37071953781512607</v>
      </c>
      <c r="G51" s="262">
        <f>G13+G19+G24+G44+G49</f>
        <v>14959</v>
      </c>
      <c r="H51" s="263">
        <f>SUM(H13+H19+H24+H44+H49)</f>
        <v>38154</v>
      </c>
      <c r="I51" s="264" t="e">
        <f>G51/#REF!</f>
        <v>#REF!</v>
      </c>
      <c r="J51" s="265">
        <f>+E51/G51</f>
        <v>0.9437128150277425</v>
      </c>
      <c r="K51" s="163">
        <f t="shared" si="1"/>
        <v>-842</v>
      </c>
      <c r="L51" s="165" t="e">
        <f>#REF!/#REF!</f>
        <v>#REF!</v>
      </c>
      <c r="M51" s="163"/>
      <c r="N51" s="215"/>
    </row>
    <row r="52" spans="1:15" s="188" customFormat="1" ht="12.75">
      <c r="A52" s="266"/>
      <c r="B52" s="267"/>
      <c r="C52" s="267"/>
      <c r="D52" s="268"/>
      <c r="E52" s="268"/>
      <c r="F52" s="269"/>
      <c r="G52" s="270"/>
      <c r="H52" s="266"/>
      <c r="I52" s="271"/>
      <c r="J52" s="269"/>
      <c r="L52" s="272"/>
      <c r="N52" s="273"/>
      <c r="O52" s="273"/>
    </row>
    <row r="53" spans="1:10" ht="16.5" customHeight="1">
      <c r="A53" s="189"/>
      <c r="B53" s="278"/>
      <c r="C53" s="189"/>
      <c r="D53" s="189"/>
      <c r="E53" s="189"/>
      <c r="F53" s="274"/>
      <c r="G53" s="275"/>
      <c r="H53" s="189"/>
      <c r="I53" s="276"/>
      <c r="J53" s="277"/>
    </row>
    <row r="54" spans="1:10" ht="12.75">
      <c r="A54" s="189"/>
      <c r="B54" s="278"/>
      <c r="C54" s="278"/>
      <c r="D54" s="278"/>
      <c r="E54" s="189"/>
      <c r="F54" s="279"/>
      <c r="G54" s="278"/>
      <c r="H54" s="189"/>
      <c r="I54" s="280"/>
      <c r="J54" s="281"/>
    </row>
    <row r="55" spans="1:10" ht="12.75">
      <c r="A55" s="282"/>
      <c r="B55" s="283"/>
      <c r="C55" s="283"/>
      <c r="D55" s="282"/>
      <c r="E55" s="282"/>
      <c r="F55" s="284"/>
      <c r="G55" s="285"/>
      <c r="H55" s="282"/>
      <c r="I55" s="280"/>
      <c r="J55" s="178"/>
    </row>
    <row r="56" spans="1:8" ht="12.75">
      <c r="A56" s="286"/>
      <c r="B56" s="286"/>
      <c r="C56" s="286"/>
      <c r="D56" s="287"/>
      <c r="E56" s="288">
        <f>B44-D44</f>
        <v>3635</v>
      </c>
      <c r="F56" s="289"/>
      <c r="G56" s="288"/>
      <c r="H56" s="286"/>
    </row>
    <row r="57" ht="12">
      <c r="G57" s="290"/>
    </row>
    <row r="59" spans="6:9" ht="12">
      <c r="F59" s="166"/>
      <c r="I59" s="291"/>
    </row>
    <row r="60" spans="6:9" ht="12">
      <c r="F60" s="166"/>
      <c r="I60" s="291"/>
    </row>
    <row r="61" spans="6:9" ht="12">
      <c r="F61" s="166"/>
      <c r="I61" s="291"/>
    </row>
    <row r="62" spans="6:9" ht="12">
      <c r="F62" s="166"/>
      <c r="I62" s="291"/>
    </row>
    <row r="63" spans="6:9" ht="12">
      <c r="F63" s="166"/>
      <c r="I63" s="291"/>
    </row>
    <row r="64" spans="6:9" ht="12">
      <c r="F64" s="166"/>
      <c r="I64" s="291"/>
    </row>
    <row r="65" spans="6:9" ht="12">
      <c r="F65" s="166"/>
      <c r="I65" s="291"/>
    </row>
    <row r="66" spans="6:9" ht="12">
      <c r="F66" s="166"/>
      <c r="I66" s="291"/>
    </row>
    <row r="67" spans="6:9" ht="12">
      <c r="F67" s="166"/>
      <c r="I67" s="291"/>
    </row>
    <row r="68" spans="6:9" ht="12">
      <c r="F68" s="166"/>
      <c r="I68" s="291"/>
    </row>
    <row r="69" spans="6:16" ht="12">
      <c r="F69" s="166"/>
      <c r="I69" s="291"/>
      <c r="L69" s="292"/>
      <c r="M69" s="293"/>
      <c r="N69" s="294"/>
      <c r="O69" s="294"/>
      <c r="P69" s="245"/>
    </row>
    <row r="70" spans="6:16" ht="12">
      <c r="F70" s="166"/>
      <c r="I70" s="291"/>
      <c r="L70" s="292"/>
      <c r="M70" s="293"/>
      <c r="N70" s="294"/>
      <c r="O70" s="294"/>
      <c r="P70" s="245"/>
    </row>
    <row r="71" spans="6:16" ht="12">
      <c r="F71" s="166"/>
      <c r="I71" s="291"/>
      <c r="L71" s="295"/>
      <c r="M71" s="296"/>
      <c r="N71" s="297"/>
      <c r="O71" s="297"/>
      <c r="P71" s="245"/>
    </row>
    <row r="72" spans="6:16" ht="12">
      <c r="F72" s="166"/>
      <c r="I72" s="291"/>
      <c r="L72" s="295"/>
      <c r="M72" s="296"/>
      <c r="N72" s="298"/>
      <c r="O72" s="298"/>
      <c r="P72" s="245"/>
    </row>
    <row r="73" spans="6:16" ht="12">
      <c r="F73" s="166"/>
      <c r="I73" s="291"/>
      <c r="L73" s="292"/>
      <c r="M73" s="293"/>
      <c r="N73" s="299"/>
      <c r="O73" s="299"/>
      <c r="P73" s="245"/>
    </row>
    <row r="74" spans="6:16" ht="12">
      <c r="F74" s="166"/>
      <c r="I74" s="291"/>
      <c r="L74" s="292"/>
      <c r="M74" s="300"/>
      <c r="N74" s="301"/>
      <c r="O74" s="302"/>
      <c r="P74" s="245"/>
    </row>
    <row r="75" spans="6:16" ht="12">
      <c r="F75" s="166"/>
      <c r="I75" s="291"/>
      <c r="L75" s="292"/>
      <c r="M75" s="300"/>
      <c r="N75" s="301"/>
      <c r="O75" s="302"/>
      <c r="P75" s="245"/>
    </row>
    <row r="76" spans="6:16" ht="12">
      <c r="F76" s="166"/>
      <c r="I76" s="291"/>
      <c r="L76" s="292"/>
      <c r="M76" s="300"/>
      <c r="N76" s="301"/>
      <c r="O76" s="302"/>
      <c r="P76" s="245"/>
    </row>
    <row r="77" spans="7:16" ht="12">
      <c r="G77" s="303"/>
      <c r="L77" s="292"/>
      <c r="M77" s="300"/>
      <c r="N77" s="301"/>
      <c r="O77" s="302"/>
      <c r="P77" s="245"/>
    </row>
    <row r="78" spans="7:16" ht="12">
      <c r="G78" s="303"/>
      <c r="L78" s="292"/>
      <c r="M78" s="300"/>
      <c r="N78" s="301"/>
      <c r="O78" s="302"/>
      <c r="P78" s="245"/>
    </row>
    <row r="79" spans="7:16" ht="12">
      <c r="G79" s="303"/>
      <c r="L79" s="292"/>
      <c r="M79" s="300"/>
      <c r="N79" s="301"/>
      <c r="O79" s="302"/>
      <c r="P79" s="245"/>
    </row>
    <row r="80" spans="7:16" ht="12">
      <c r="G80" s="303"/>
      <c r="L80" s="292"/>
      <c r="M80" s="300"/>
      <c r="N80" s="301"/>
      <c r="O80" s="302"/>
      <c r="P80" s="245"/>
    </row>
    <row r="81" spans="7:16" ht="12">
      <c r="G81" s="303"/>
      <c r="L81" s="292"/>
      <c r="M81" s="300"/>
      <c r="N81" s="301"/>
      <c r="O81" s="302"/>
      <c r="P81" s="245"/>
    </row>
    <row r="82" spans="7:16" ht="12">
      <c r="G82" s="303"/>
      <c r="L82" s="292"/>
      <c r="M82" s="300"/>
      <c r="N82" s="301"/>
      <c r="O82" s="302"/>
      <c r="P82" s="245"/>
    </row>
    <row r="83" spans="7:16" ht="12">
      <c r="G83" s="303"/>
      <c r="L83" s="292"/>
      <c r="M83" s="300"/>
      <c r="N83" s="301"/>
      <c r="O83" s="302"/>
      <c r="P83" s="245"/>
    </row>
    <row r="84" spans="7:16" ht="12">
      <c r="G84" s="303"/>
      <c r="L84" s="292"/>
      <c r="M84" s="300"/>
      <c r="N84" s="301"/>
      <c r="O84" s="302"/>
      <c r="P84" s="245"/>
    </row>
    <row r="85" spans="7:16" ht="12">
      <c r="G85" s="303"/>
      <c r="L85" s="292"/>
      <c r="M85" s="300"/>
      <c r="N85" s="301"/>
      <c r="O85" s="302"/>
      <c r="P85" s="245"/>
    </row>
    <row r="86" spans="7:16" ht="12">
      <c r="G86" s="303"/>
      <c r="L86" s="292"/>
      <c r="M86" s="300"/>
      <c r="N86" s="301"/>
      <c r="O86" s="302"/>
      <c r="P86" s="245"/>
    </row>
    <row r="87" spans="7:16" ht="12">
      <c r="G87" s="303"/>
      <c r="L87" s="292"/>
      <c r="M87" s="300"/>
      <c r="N87" s="301"/>
      <c r="O87" s="302"/>
      <c r="P87" s="245"/>
    </row>
    <row r="88" spans="7:16" ht="12">
      <c r="G88" s="303"/>
      <c r="L88" s="292"/>
      <c r="M88" s="300"/>
      <c r="N88" s="301"/>
      <c r="O88" s="302"/>
      <c r="P88" s="245"/>
    </row>
    <row r="89" spans="7:16" ht="12">
      <c r="G89" s="303"/>
      <c r="L89" s="292"/>
      <c r="M89" s="300"/>
      <c r="N89" s="301"/>
      <c r="O89" s="302"/>
      <c r="P89" s="245"/>
    </row>
    <row r="90" spans="7:16" ht="12">
      <c r="G90" s="303"/>
      <c r="L90" s="292"/>
      <c r="M90" s="300"/>
      <c r="N90" s="301"/>
      <c r="O90" s="302"/>
      <c r="P90" s="245"/>
    </row>
    <row r="91" spans="7:16" ht="12">
      <c r="G91" s="303"/>
      <c r="L91" s="292"/>
      <c r="M91" s="300"/>
      <c r="N91" s="301"/>
      <c r="O91" s="302"/>
      <c r="P91" s="245"/>
    </row>
    <row r="92" spans="7:16" ht="12">
      <c r="G92" s="303"/>
      <c r="L92" s="292"/>
      <c r="M92" s="300"/>
      <c r="N92" s="301"/>
      <c r="O92" s="302"/>
      <c r="P92" s="245"/>
    </row>
    <row r="93" spans="7:16" ht="12">
      <c r="G93" s="303"/>
      <c r="L93" s="295"/>
      <c r="M93" s="172"/>
      <c r="N93" s="290"/>
      <c r="O93" s="304"/>
      <c r="P93" s="245"/>
    </row>
    <row r="94" spans="7:16" ht="12">
      <c r="G94" s="303"/>
      <c r="L94" s="295"/>
      <c r="M94" s="172"/>
      <c r="N94" s="290"/>
      <c r="O94" s="304"/>
      <c r="P94" s="245"/>
    </row>
    <row r="95" spans="7:16" ht="12">
      <c r="G95" s="303"/>
      <c r="L95" s="295"/>
      <c r="M95" s="172"/>
      <c r="N95" s="305"/>
      <c r="O95" s="306"/>
      <c r="P95" s="245"/>
    </row>
    <row r="96" spans="7:15" ht="12">
      <c r="G96" s="303"/>
      <c r="L96" s="292"/>
      <c r="M96" s="293"/>
      <c r="N96" s="293"/>
      <c r="O96" s="293"/>
    </row>
    <row r="97" spans="7:15" ht="12">
      <c r="G97" s="303"/>
      <c r="L97" s="292"/>
      <c r="M97" s="293"/>
      <c r="N97" s="293"/>
      <c r="O97" s="293"/>
    </row>
    <row r="98" spans="7:15" ht="12">
      <c r="G98" s="303"/>
      <c r="L98" s="292"/>
      <c r="M98" s="293"/>
      <c r="N98" s="294"/>
      <c r="O98" s="294"/>
    </row>
    <row r="99" spans="7:15" ht="12">
      <c r="G99" s="303"/>
      <c r="L99" s="292"/>
      <c r="M99" s="293"/>
      <c r="N99" s="294"/>
      <c r="O99" s="294"/>
    </row>
    <row r="100" spans="7:15" ht="12">
      <c r="G100" s="303"/>
      <c r="L100" s="292"/>
      <c r="M100" s="293"/>
      <c r="N100" s="294"/>
      <c r="O100" s="294"/>
    </row>
    <row r="101" spans="7:15" ht="12">
      <c r="G101" s="303"/>
      <c r="L101" s="307"/>
      <c r="M101" s="293"/>
      <c r="N101" s="294"/>
      <c r="O101" s="294"/>
    </row>
    <row r="102" spans="7:15" ht="12">
      <c r="G102" s="303"/>
      <c r="L102" s="292"/>
      <c r="M102" s="293"/>
      <c r="N102" s="294"/>
      <c r="O102" s="294"/>
    </row>
    <row r="103" spans="7:15" ht="12">
      <c r="G103" s="303"/>
      <c r="L103" s="292"/>
      <c r="M103" s="293"/>
      <c r="N103" s="294"/>
      <c r="O103" s="294"/>
    </row>
    <row r="104" spans="7:15" ht="12">
      <c r="G104" s="303"/>
      <c r="L104" s="292"/>
      <c r="M104" s="293"/>
      <c r="N104" s="294"/>
      <c r="O104" s="294"/>
    </row>
    <row r="105" spans="7:15" ht="12">
      <c r="G105" s="303"/>
      <c r="L105" s="292"/>
      <c r="M105" s="293"/>
      <c r="N105" s="294"/>
      <c r="O105" s="294"/>
    </row>
    <row r="106" spans="7:15" ht="12">
      <c r="G106" s="303"/>
      <c r="L106" s="292"/>
      <c r="M106" s="293"/>
      <c r="N106" s="294"/>
      <c r="O106" s="294"/>
    </row>
    <row r="107" spans="7:15" ht="12">
      <c r="G107" s="303"/>
      <c r="L107" s="292"/>
      <c r="M107" s="293"/>
      <c r="N107" s="294"/>
      <c r="O107" s="294"/>
    </row>
    <row r="108" spans="12:15" ht="12">
      <c r="L108" s="292"/>
      <c r="M108" s="293"/>
      <c r="N108" s="294"/>
      <c r="O108" s="294"/>
    </row>
    <row r="109" spans="12:15" ht="12">
      <c r="L109" s="292"/>
      <c r="M109" s="293"/>
      <c r="N109" s="294"/>
      <c r="O109" s="294"/>
    </row>
    <row r="110" spans="12:15" ht="12">
      <c r="L110" s="292"/>
      <c r="M110" s="293"/>
      <c r="N110" s="294"/>
      <c r="O110" s="294"/>
    </row>
    <row r="111" spans="12:15" ht="12">
      <c r="L111" s="292"/>
      <c r="M111" s="293"/>
      <c r="N111" s="294"/>
      <c r="O111" s="294"/>
    </row>
    <row r="112" spans="12:15" ht="12">
      <c r="L112" s="292"/>
      <c r="M112" s="293"/>
      <c r="N112" s="294"/>
      <c r="O112" s="294"/>
    </row>
  </sheetData>
  <printOptions/>
  <pageMargins left="0.5905511811023623" right="0.03937007874015748" top="0.1968503937007874" bottom="0.03937007874015748" header="0.57" footer="0.31496062992125984"/>
  <pageSetup fitToHeight="1" fitToWidth="1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1"/>
  <sheetViews>
    <sheetView showGridLines="0" workbookViewId="0" topLeftCell="A61">
      <selection activeCell="B54" sqref="B54"/>
    </sheetView>
  </sheetViews>
  <sheetFormatPr defaultColWidth="9.140625" defaultRowHeight="12.75"/>
  <cols>
    <col min="1" max="1" width="38.7109375" style="77" customWidth="1"/>
    <col min="2" max="2" width="9.7109375" style="77" customWidth="1"/>
    <col min="3" max="3" width="9.140625" style="154" customWidth="1"/>
    <col min="4" max="4" width="8.7109375" style="145" customWidth="1"/>
    <col min="5" max="5" width="8.7109375" style="80" hidden="1" customWidth="1"/>
    <col min="6" max="6" width="8.28125" style="620" hidden="1" customWidth="1"/>
    <col min="7" max="8" width="8.28125" style="625" hidden="1" customWidth="1"/>
    <col min="9" max="16384" width="8.28125" style="77" customWidth="1"/>
  </cols>
  <sheetData>
    <row r="1" spans="1:5" ht="13.5">
      <c r="A1" s="73"/>
      <c r="B1" s="73"/>
      <c r="C1" s="74"/>
      <c r="D1" s="75"/>
      <c r="E1" s="76"/>
    </row>
    <row r="2" spans="1:4" ht="17.25">
      <c r="A2" s="344" t="s">
        <v>251</v>
      </c>
      <c r="B2" s="78"/>
      <c r="C2" s="74"/>
      <c r="D2" s="160" t="s">
        <v>250</v>
      </c>
    </row>
    <row r="3" spans="1:4" ht="14.25">
      <c r="A3" s="81"/>
      <c r="B3" s="81"/>
      <c r="C3" s="74"/>
      <c r="D3" s="79"/>
    </row>
    <row r="4" spans="1:4" ht="13.5">
      <c r="A4" s="82"/>
      <c r="B4" s="159"/>
      <c r="C4" s="74"/>
      <c r="D4" s="79"/>
    </row>
    <row r="5" spans="1:4" ht="17.25" customHeight="1">
      <c r="A5" s="83"/>
      <c r="B5" s="84" t="s">
        <v>31</v>
      </c>
      <c r="C5" s="84" t="s">
        <v>31</v>
      </c>
      <c r="D5" s="85" t="s">
        <v>33</v>
      </c>
    </row>
    <row r="6" spans="1:4" ht="13.5">
      <c r="A6" s="83"/>
      <c r="B6" s="86">
        <v>2006</v>
      </c>
      <c r="C6" s="86">
        <v>2005</v>
      </c>
      <c r="D6" s="86">
        <v>2005</v>
      </c>
    </row>
    <row r="7" spans="1:4" ht="13.5">
      <c r="A7" s="87" t="s">
        <v>219</v>
      </c>
      <c r="B7" s="88"/>
      <c r="C7" s="88"/>
      <c r="D7" s="89"/>
    </row>
    <row r="8" spans="1:4" ht="13.5">
      <c r="A8" s="87"/>
      <c r="B8" s="88"/>
      <c r="C8" s="88"/>
      <c r="D8" s="89"/>
    </row>
    <row r="9" spans="1:8" ht="13.5">
      <c r="A9" s="87" t="s">
        <v>220</v>
      </c>
      <c r="B9" s="90"/>
      <c r="C9" s="90"/>
      <c r="D9" s="91"/>
      <c r="E9" s="93" t="s">
        <v>438</v>
      </c>
      <c r="F9" s="621" t="s">
        <v>439</v>
      </c>
      <c r="G9" s="626" t="s">
        <v>440</v>
      </c>
      <c r="H9" s="626" t="s">
        <v>441</v>
      </c>
    </row>
    <row r="10" spans="1:8" ht="13.5">
      <c r="A10" s="94" t="s">
        <v>161</v>
      </c>
      <c r="B10" s="95">
        <f>'delprogram bil 4'!G17</f>
        <v>815</v>
      </c>
      <c r="C10" s="95">
        <v>600</v>
      </c>
      <c r="D10" s="95">
        <v>630</v>
      </c>
      <c r="E10" s="93">
        <v>390</v>
      </c>
      <c r="F10" s="622">
        <f>125+300</f>
        <v>425</v>
      </c>
      <c r="H10" s="620">
        <f>E10+F10+G10</f>
        <v>815</v>
      </c>
    </row>
    <row r="11" spans="1:8" s="98" customFormat="1" ht="13.5">
      <c r="A11" s="96" t="s">
        <v>47</v>
      </c>
      <c r="B11" s="97">
        <f>'delprogram bil 4'!G23</f>
        <v>3</v>
      </c>
      <c r="C11" s="97">
        <v>0</v>
      </c>
      <c r="D11" s="97">
        <v>0</v>
      </c>
      <c r="E11" s="93">
        <v>3</v>
      </c>
      <c r="F11" s="622"/>
      <c r="G11" s="627"/>
      <c r="H11" s="620">
        <f aca="true" t="shared" si="0" ref="H11:H74">E11+F11+G11</f>
        <v>3</v>
      </c>
    </row>
    <row r="12" spans="1:8" ht="13.5">
      <c r="A12" s="94" t="s">
        <v>51</v>
      </c>
      <c r="B12" s="95">
        <f>'delprogram bil 4'!G30</f>
        <v>340</v>
      </c>
      <c r="C12" s="95">
        <v>265</v>
      </c>
      <c r="D12" s="95">
        <v>278</v>
      </c>
      <c r="E12" s="93">
        <v>312</v>
      </c>
      <c r="F12" s="622">
        <v>28</v>
      </c>
      <c r="H12" s="620">
        <f t="shared" si="0"/>
        <v>340</v>
      </c>
    </row>
    <row r="13" spans="1:8" s="98" customFormat="1" ht="13.5">
      <c r="A13" s="96" t="s">
        <v>221</v>
      </c>
      <c r="B13" s="99">
        <f>'delprogram bil 4'!G39</f>
        <v>290</v>
      </c>
      <c r="C13" s="99">
        <v>260</v>
      </c>
      <c r="D13" s="97">
        <v>265</v>
      </c>
      <c r="E13" s="93">
        <v>290</v>
      </c>
      <c r="F13" s="622"/>
      <c r="G13" s="627"/>
      <c r="H13" s="620">
        <f t="shared" si="0"/>
        <v>290</v>
      </c>
    </row>
    <row r="14" spans="1:8" s="102" customFormat="1" ht="13.5">
      <c r="A14" s="100" t="s">
        <v>35</v>
      </c>
      <c r="B14" s="101">
        <f>SUM(B10:B13)</f>
        <v>1448</v>
      </c>
      <c r="C14" s="101">
        <f>SUM(C10:C13)</f>
        <v>1125</v>
      </c>
      <c r="D14" s="101">
        <f>SUM(D10:D13)</f>
        <v>1173</v>
      </c>
      <c r="E14" s="93"/>
      <c r="F14" s="622"/>
      <c r="G14" s="628"/>
      <c r="H14" s="620">
        <f t="shared" si="0"/>
        <v>0</v>
      </c>
    </row>
    <row r="15" spans="1:8" ht="13.5">
      <c r="A15" s="103"/>
      <c r="B15" s="104"/>
      <c r="C15" s="105"/>
      <c r="D15" s="104"/>
      <c r="E15" s="93"/>
      <c r="F15" s="622"/>
      <c r="H15" s="620">
        <f t="shared" si="0"/>
        <v>0</v>
      </c>
    </row>
    <row r="16" spans="1:8" ht="13.5">
      <c r="A16" s="106" t="s">
        <v>222</v>
      </c>
      <c r="B16" s="104"/>
      <c r="C16" s="105"/>
      <c r="D16" s="104"/>
      <c r="E16" s="93"/>
      <c r="F16" s="622"/>
      <c r="H16" s="620">
        <f t="shared" si="0"/>
        <v>0</v>
      </c>
    </row>
    <row r="17" spans="1:8" s="98" customFormat="1" ht="13.5">
      <c r="A17" s="94" t="s">
        <v>223</v>
      </c>
      <c r="B17" s="95">
        <f>'delprogram bil 4'!G53</f>
        <v>477</v>
      </c>
      <c r="C17" s="95">
        <v>422</v>
      </c>
      <c r="D17" s="95">
        <v>392</v>
      </c>
      <c r="E17" s="93">
        <v>477</v>
      </c>
      <c r="F17" s="622"/>
      <c r="G17" s="627"/>
      <c r="H17" s="620">
        <f t="shared" si="0"/>
        <v>477</v>
      </c>
    </row>
    <row r="18" spans="1:8" s="98" customFormat="1" ht="13.5">
      <c r="A18" s="96" t="s">
        <v>22</v>
      </c>
      <c r="B18" s="97">
        <f>'delprogram bil 4'!G63</f>
        <v>198</v>
      </c>
      <c r="C18" s="97">
        <v>187</v>
      </c>
      <c r="D18" s="97">
        <v>187</v>
      </c>
      <c r="E18" s="93">
        <v>178</v>
      </c>
      <c r="F18" s="622"/>
      <c r="G18" s="627">
        <v>20</v>
      </c>
      <c r="H18" s="620">
        <f t="shared" si="0"/>
        <v>198</v>
      </c>
    </row>
    <row r="19" spans="1:8" ht="13.5">
      <c r="A19" s="94" t="s">
        <v>10</v>
      </c>
      <c r="B19" s="95">
        <f>'delprogram bil 4'!G71</f>
        <v>16</v>
      </c>
      <c r="C19" s="95">
        <v>26</v>
      </c>
      <c r="D19" s="95">
        <v>25</v>
      </c>
      <c r="E19" s="93">
        <v>16</v>
      </c>
      <c r="F19" s="622"/>
      <c r="H19" s="620">
        <f t="shared" si="0"/>
        <v>16</v>
      </c>
    </row>
    <row r="20" spans="1:8" s="98" customFormat="1" ht="13.5">
      <c r="A20" s="96" t="s">
        <v>176</v>
      </c>
      <c r="B20" s="97">
        <f>'delprogram bil 4'!G77</f>
        <v>1647</v>
      </c>
      <c r="C20" s="97">
        <v>1467</v>
      </c>
      <c r="D20" s="97">
        <v>1445</v>
      </c>
      <c r="E20" s="93">
        <v>1547</v>
      </c>
      <c r="F20" s="622">
        <v>100</v>
      </c>
      <c r="G20" s="627"/>
      <c r="H20" s="620">
        <f t="shared" si="0"/>
        <v>1647</v>
      </c>
    </row>
    <row r="21" spans="1:8" ht="13.5">
      <c r="A21" s="94" t="s">
        <v>178</v>
      </c>
      <c r="B21" s="95">
        <f>'delprogram bil 4'!G83</f>
        <v>200</v>
      </c>
      <c r="C21" s="95">
        <v>225</v>
      </c>
      <c r="D21" s="95">
        <v>319</v>
      </c>
      <c r="E21" s="93">
        <v>200</v>
      </c>
      <c r="F21" s="622"/>
      <c r="H21" s="620">
        <f t="shared" si="0"/>
        <v>200</v>
      </c>
    </row>
    <row r="22" spans="1:8" s="98" customFormat="1" ht="13.5">
      <c r="A22" s="96" t="s">
        <v>181</v>
      </c>
      <c r="B22" s="97">
        <f>'delprogram bil 4'!G95</f>
        <v>600</v>
      </c>
      <c r="C22" s="97"/>
      <c r="D22" s="97">
        <v>860</v>
      </c>
      <c r="E22" s="107">
        <v>600</v>
      </c>
      <c r="F22" s="623"/>
      <c r="G22" s="627"/>
      <c r="H22" s="620">
        <f t="shared" si="0"/>
        <v>600</v>
      </c>
    </row>
    <row r="23" spans="1:8" s="102" customFormat="1" ht="13.5">
      <c r="A23" s="100" t="s">
        <v>35</v>
      </c>
      <c r="B23" s="101">
        <f>SUM(B17:B22)</f>
        <v>3138</v>
      </c>
      <c r="C23" s="101">
        <f>SUM(C17:C22)</f>
        <v>2327</v>
      </c>
      <c r="D23" s="101">
        <f>SUM(D17:D22)</f>
        <v>3228</v>
      </c>
      <c r="E23" s="93"/>
      <c r="F23" s="622"/>
      <c r="G23" s="628"/>
      <c r="H23" s="620">
        <f t="shared" si="0"/>
        <v>0</v>
      </c>
    </row>
    <row r="24" spans="1:8" ht="13.5">
      <c r="A24" s="96"/>
      <c r="B24" s="108"/>
      <c r="C24" s="109"/>
      <c r="D24" s="108"/>
      <c r="E24" s="93"/>
      <c r="F24" s="622"/>
      <c r="H24" s="620">
        <f t="shared" si="0"/>
        <v>0</v>
      </c>
    </row>
    <row r="25" spans="1:8" ht="13.5">
      <c r="A25" s="106" t="s">
        <v>224</v>
      </c>
      <c r="B25" s="104"/>
      <c r="C25" s="105"/>
      <c r="D25" s="104"/>
      <c r="E25" s="93"/>
      <c r="F25" s="622"/>
      <c r="H25" s="620">
        <f t="shared" si="0"/>
        <v>0</v>
      </c>
    </row>
    <row r="26" spans="1:8" ht="13.5">
      <c r="A26" s="110" t="s">
        <v>45</v>
      </c>
      <c r="B26" s="111">
        <f>'delprogram bil 4'!G104</f>
        <v>85</v>
      </c>
      <c r="C26" s="112">
        <v>65</v>
      </c>
      <c r="D26" s="111">
        <v>76</v>
      </c>
      <c r="E26" s="93">
        <v>85</v>
      </c>
      <c r="F26" s="622"/>
      <c r="H26" s="620">
        <f t="shared" si="0"/>
        <v>85</v>
      </c>
    </row>
    <row r="27" spans="1:8" s="98" customFormat="1" ht="13.5">
      <c r="A27" s="113" t="s">
        <v>41</v>
      </c>
      <c r="B27" s="114">
        <f>'delprogram bil 4'!G111</f>
        <v>14</v>
      </c>
      <c r="C27" s="105">
        <v>14</v>
      </c>
      <c r="D27" s="114">
        <v>33</v>
      </c>
      <c r="E27" s="93">
        <v>54</v>
      </c>
      <c r="F27" s="622"/>
      <c r="G27" s="627">
        <v>-40</v>
      </c>
      <c r="H27" s="620">
        <f t="shared" si="0"/>
        <v>14</v>
      </c>
    </row>
    <row r="28" spans="1:8" ht="13.5">
      <c r="A28" s="110" t="s">
        <v>42</v>
      </c>
      <c r="B28" s="111">
        <f>'delprogram bil 4'!G130</f>
        <v>238</v>
      </c>
      <c r="C28" s="112">
        <v>536</v>
      </c>
      <c r="D28" s="111">
        <v>568</v>
      </c>
      <c r="E28" s="93">
        <v>184</v>
      </c>
      <c r="F28" s="622">
        <v>30</v>
      </c>
      <c r="G28" s="625">
        <f>16+8</f>
        <v>24</v>
      </c>
      <c r="H28" s="620">
        <f t="shared" si="0"/>
        <v>238</v>
      </c>
    </row>
    <row r="29" spans="1:8" s="98" customFormat="1" ht="13.5">
      <c r="A29" s="113" t="s">
        <v>43</v>
      </c>
      <c r="B29" s="114">
        <f>'delprogram bil 4'!G142</f>
        <v>155</v>
      </c>
      <c r="C29" s="105">
        <v>110</v>
      </c>
      <c r="D29" s="114">
        <v>94</v>
      </c>
      <c r="E29" s="93">
        <v>155</v>
      </c>
      <c r="F29" s="622"/>
      <c r="G29" s="627"/>
      <c r="H29" s="620">
        <f t="shared" si="0"/>
        <v>155</v>
      </c>
    </row>
    <row r="30" spans="1:8" ht="13.5">
      <c r="A30" s="110" t="s">
        <v>111</v>
      </c>
      <c r="B30" s="111">
        <f>'delprogram bil 4'!G164</f>
        <v>466</v>
      </c>
      <c r="C30" s="112">
        <v>173</v>
      </c>
      <c r="D30" s="111">
        <v>169</v>
      </c>
      <c r="E30" s="93">
        <v>206</v>
      </c>
      <c r="F30" s="622">
        <f>150+100+40</f>
        <v>290</v>
      </c>
      <c r="G30" s="625">
        <f>10-40</f>
        <v>-30</v>
      </c>
      <c r="H30" s="620">
        <f t="shared" si="0"/>
        <v>466</v>
      </c>
    </row>
    <row r="31" spans="1:8" s="98" customFormat="1" ht="13.5">
      <c r="A31" s="96" t="s">
        <v>3</v>
      </c>
      <c r="B31" s="97">
        <f>'delprogram bil 4'!G172</f>
        <v>200</v>
      </c>
      <c r="C31" s="97">
        <v>56</v>
      </c>
      <c r="D31" s="97">
        <v>36</v>
      </c>
      <c r="E31" s="93">
        <v>55</v>
      </c>
      <c r="F31" s="622">
        <v>50</v>
      </c>
      <c r="G31" s="627">
        <v>95</v>
      </c>
      <c r="H31" s="620">
        <f t="shared" si="0"/>
        <v>200</v>
      </c>
    </row>
    <row r="32" spans="1:8" s="98" customFormat="1" ht="13.5">
      <c r="A32" s="94" t="s">
        <v>315</v>
      </c>
      <c r="B32" s="95">
        <f>'delprogram bil 4'!G176</f>
        <v>320</v>
      </c>
      <c r="C32" s="95"/>
      <c r="D32" s="95"/>
      <c r="E32" s="93"/>
      <c r="F32" s="622">
        <v>400</v>
      </c>
      <c r="G32" s="627">
        <v>-80</v>
      </c>
      <c r="H32" s="620">
        <f t="shared" si="0"/>
        <v>320</v>
      </c>
    </row>
    <row r="33" spans="1:8" s="102" customFormat="1" ht="13.5">
      <c r="A33" s="100" t="s">
        <v>35</v>
      </c>
      <c r="B33" s="101">
        <f>SUM(B26:B32)</f>
        <v>1478</v>
      </c>
      <c r="C33" s="101">
        <f>SUM(C26:C32)</f>
        <v>954</v>
      </c>
      <c r="D33" s="101">
        <f>SUM(D26:D32)</f>
        <v>976</v>
      </c>
      <c r="E33" s="93"/>
      <c r="F33" s="622"/>
      <c r="G33" s="629"/>
      <c r="H33" s="620">
        <f t="shared" si="0"/>
        <v>0</v>
      </c>
    </row>
    <row r="34" spans="1:8" ht="13.5">
      <c r="A34" s="113"/>
      <c r="B34" s="104"/>
      <c r="C34" s="105"/>
      <c r="D34" s="104"/>
      <c r="E34" s="93"/>
      <c r="F34" s="622"/>
      <c r="H34" s="620">
        <f t="shared" si="0"/>
        <v>0</v>
      </c>
    </row>
    <row r="35" spans="1:8" ht="13.5">
      <c r="A35" s="106" t="s">
        <v>225</v>
      </c>
      <c r="B35" s="104"/>
      <c r="C35" s="105"/>
      <c r="D35" s="104"/>
      <c r="E35" s="93"/>
      <c r="F35" s="622"/>
      <c r="H35" s="620">
        <f t="shared" si="0"/>
        <v>0</v>
      </c>
    </row>
    <row r="36" spans="1:8" ht="13.5">
      <c r="A36" s="94" t="s">
        <v>226</v>
      </c>
      <c r="B36" s="95">
        <f>'delprogram bil 4'!G188</f>
        <v>200</v>
      </c>
      <c r="C36" s="95">
        <v>105</v>
      </c>
      <c r="D36" s="95">
        <v>123</v>
      </c>
      <c r="E36" s="93">
        <v>200</v>
      </c>
      <c r="F36" s="622"/>
      <c r="H36" s="620">
        <f t="shared" si="0"/>
        <v>200</v>
      </c>
    </row>
    <row r="37" spans="1:8" s="98" customFormat="1" ht="13.5">
      <c r="A37" s="96" t="s">
        <v>227</v>
      </c>
      <c r="B37" s="97">
        <f>'delprogram bil 4'!G194</f>
        <v>5</v>
      </c>
      <c r="C37" s="97">
        <v>5</v>
      </c>
      <c r="D37" s="97">
        <v>5</v>
      </c>
      <c r="E37" s="93">
        <v>5</v>
      </c>
      <c r="F37" s="622"/>
      <c r="G37" s="627"/>
      <c r="H37" s="620">
        <f t="shared" si="0"/>
        <v>5</v>
      </c>
    </row>
    <row r="38" spans="1:8" ht="13.5">
      <c r="A38" s="94" t="s">
        <v>49</v>
      </c>
      <c r="B38" s="95">
        <f>'delprogram bil 4'!G200</f>
        <v>25</v>
      </c>
      <c r="C38" s="95">
        <v>35</v>
      </c>
      <c r="D38" s="95">
        <v>26</v>
      </c>
      <c r="E38" s="93">
        <v>20</v>
      </c>
      <c r="F38" s="622"/>
      <c r="G38" s="625">
        <v>5</v>
      </c>
      <c r="H38" s="620">
        <f t="shared" si="0"/>
        <v>25</v>
      </c>
    </row>
    <row r="39" spans="1:8" s="98" customFormat="1" ht="13.5">
      <c r="A39" s="96" t="s">
        <v>228</v>
      </c>
      <c r="B39" s="97">
        <v>0</v>
      </c>
      <c r="C39" s="97">
        <v>264</v>
      </c>
      <c r="D39" s="97">
        <v>279</v>
      </c>
      <c r="E39" s="93">
        <v>0</v>
      </c>
      <c r="F39" s="622"/>
      <c r="G39" s="627"/>
      <c r="H39" s="620">
        <f t="shared" si="0"/>
        <v>0</v>
      </c>
    </row>
    <row r="40" spans="1:8" ht="13.5">
      <c r="A40" s="94" t="s">
        <v>229</v>
      </c>
      <c r="B40" s="95">
        <f>'delprogram bil 4'!G212</f>
        <v>280</v>
      </c>
      <c r="C40" s="95">
        <v>235</v>
      </c>
      <c r="D40" s="95">
        <v>268</v>
      </c>
      <c r="E40" s="93">
        <v>280</v>
      </c>
      <c r="F40" s="622"/>
      <c r="H40" s="620">
        <f t="shared" si="0"/>
        <v>280</v>
      </c>
    </row>
    <row r="41" spans="1:8" s="98" customFormat="1" ht="13.5">
      <c r="A41" s="96" t="s">
        <v>230</v>
      </c>
      <c r="B41" s="97">
        <f>'delprogram bil 4'!G218</f>
        <v>40</v>
      </c>
      <c r="C41" s="97">
        <v>27</v>
      </c>
      <c r="D41" s="97">
        <v>43</v>
      </c>
      <c r="E41" s="93">
        <v>40</v>
      </c>
      <c r="F41" s="622"/>
      <c r="G41" s="627"/>
      <c r="H41" s="620">
        <f t="shared" si="0"/>
        <v>40</v>
      </c>
    </row>
    <row r="42" spans="1:8" ht="13.5">
      <c r="A42" s="94" t="s">
        <v>231</v>
      </c>
      <c r="B42" s="95">
        <f>'delprogram bil 4'!G224</f>
        <v>20</v>
      </c>
      <c r="C42" s="95">
        <v>25</v>
      </c>
      <c r="D42" s="95">
        <v>18</v>
      </c>
      <c r="E42" s="93">
        <v>20</v>
      </c>
      <c r="F42" s="622"/>
      <c r="H42" s="620">
        <f t="shared" si="0"/>
        <v>20</v>
      </c>
    </row>
    <row r="43" spans="1:8" s="98" customFormat="1" ht="13.5">
      <c r="A43" s="96" t="s">
        <v>232</v>
      </c>
      <c r="B43" s="97">
        <f>'delprogram bil 4'!G231</f>
        <v>45</v>
      </c>
      <c r="C43" s="97">
        <v>40</v>
      </c>
      <c r="D43" s="97">
        <v>60</v>
      </c>
      <c r="E43" s="93">
        <v>45</v>
      </c>
      <c r="F43" s="622"/>
      <c r="G43" s="627"/>
      <c r="H43" s="620">
        <f t="shared" si="0"/>
        <v>45</v>
      </c>
    </row>
    <row r="44" spans="1:8" s="115" customFormat="1" ht="13.5">
      <c r="A44" s="100" t="s">
        <v>35</v>
      </c>
      <c r="B44" s="101">
        <f>SUM(B36:B43)</f>
        <v>615</v>
      </c>
      <c r="C44" s="101">
        <f>SUM(C36:C43)</f>
        <v>736</v>
      </c>
      <c r="D44" s="101">
        <f>SUM(D36:D43)</f>
        <v>822</v>
      </c>
      <c r="E44" s="93"/>
      <c r="F44" s="622"/>
      <c r="G44" s="630"/>
      <c r="H44" s="620">
        <f t="shared" si="0"/>
        <v>0</v>
      </c>
    </row>
    <row r="45" spans="1:8" ht="13.5">
      <c r="A45" s="96"/>
      <c r="B45" s="108"/>
      <c r="C45" s="109"/>
      <c r="D45" s="108"/>
      <c r="E45" s="93"/>
      <c r="F45" s="622"/>
      <c r="H45" s="620">
        <f t="shared" si="0"/>
        <v>0</v>
      </c>
    </row>
    <row r="46" spans="1:8" ht="13.5">
      <c r="A46" s="106" t="s">
        <v>233</v>
      </c>
      <c r="B46" s="104"/>
      <c r="C46" s="105"/>
      <c r="D46" s="104"/>
      <c r="E46" s="93"/>
      <c r="F46" s="622"/>
      <c r="H46" s="620">
        <f t="shared" si="0"/>
        <v>0</v>
      </c>
    </row>
    <row r="47" spans="1:8" ht="13.5">
      <c r="A47" s="94" t="s">
        <v>202</v>
      </c>
      <c r="B47" s="95">
        <f>'delprogram bil 4'!G246</f>
        <v>2146</v>
      </c>
      <c r="C47" s="95">
        <v>2615</v>
      </c>
      <c r="D47" s="95">
        <v>2715</v>
      </c>
      <c r="E47" s="93">
        <v>2146</v>
      </c>
      <c r="F47" s="622"/>
      <c r="H47" s="620">
        <f t="shared" si="0"/>
        <v>2146</v>
      </c>
    </row>
    <row r="48" spans="1:8" s="98" customFormat="1" ht="13.5">
      <c r="A48" s="96" t="s">
        <v>234</v>
      </c>
      <c r="B48" s="97">
        <f>'delprogram bil 4'!G276</f>
        <v>7428</v>
      </c>
      <c r="C48" s="97">
        <v>4483</v>
      </c>
      <c r="D48" s="97">
        <v>4326</v>
      </c>
      <c r="E48" s="93">
        <v>5948</v>
      </c>
      <c r="F48" s="622">
        <f>100+190</f>
        <v>290</v>
      </c>
      <c r="G48" s="627">
        <v>1190</v>
      </c>
      <c r="H48" s="620">
        <f t="shared" si="0"/>
        <v>7428</v>
      </c>
    </row>
    <row r="49" spans="1:8" ht="13.5">
      <c r="A49" s="94" t="s">
        <v>58</v>
      </c>
      <c r="B49" s="95">
        <f>'delprogram bil 4'!G281</f>
        <v>90</v>
      </c>
      <c r="C49" s="95">
        <v>50</v>
      </c>
      <c r="D49" s="95">
        <v>17</v>
      </c>
      <c r="E49" s="93">
        <v>90</v>
      </c>
      <c r="F49" s="622"/>
      <c r="H49" s="620">
        <f t="shared" si="0"/>
        <v>90</v>
      </c>
    </row>
    <row r="50" spans="1:8" s="98" customFormat="1" ht="13.5">
      <c r="A50" s="96" t="s">
        <v>11</v>
      </c>
      <c r="B50" s="97">
        <f>'delprogram bil 4'!G288</f>
        <v>65</v>
      </c>
      <c r="C50" s="97">
        <v>65</v>
      </c>
      <c r="D50" s="97">
        <v>65</v>
      </c>
      <c r="E50" s="93">
        <v>65</v>
      </c>
      <c r="F50" s="622"/>
      <c r="G50" s="627"/>
      <c r="H50" s="620">
        <f t="shared" si="0"/>
        <v>65</v>
      </c>
    </row>
    <row r="51" spans="1:8" s="118" customFormat="1" ht="13.5">
      <c r="A51" s="116" t="s">
        <v>235</v>
      </c>
      <c r="B51" s="117">
        <f>'delprogram bil 4'!G293</f>
        <v>-700</v>
      </c>
      <c r="C51" s="117">
        <v>-493</v>
      </c>
      <c r="D51" s="117">
        <f>'[5]Sammanfattning 2005'!$F$37</f>
        <v>-500</v>
      </c>
      <c r="E51" s="93">
        <v>-600</v>
      </c>
      <c r="F51" s="622"/>
      <c r="G51" s="631">
        <v>-100</v>
      </c>
      <c r="H51" s="620">
        <f t="shared" si="0"/>
        <v>-700</v>
      </c>
    </row>
    <row r="52" spans="1:8" ht="13.5">
      <c r="A52" s="100" t="s">
        <v>35</v>
      </c>
      <c r="B52" s="101">
        <f>SUM(B47:B51)</f>
        <v>9029</v>
      </c>
      <c r="C52" s="119">
        <f>SUM(C47:C51)</f>
        <v>6720</v>
      </c>
      <c r="D52" s="101">
        <f>SUM(D47:D51)</f>
        <v>6623</v>
      </c>
      <c r="E52" s="93"/>
      <c r="F52" s="622"/>
      <c r="H52" s="620">
        <f t="shared" si="0"/>
        <v>0</v>
      </c>
    </row>
    <row r="53" spans="1:8" ht="13.5">
      <c r="A53" s="120"/>
      <c r="B53" s="121"/>
      <c r="C53" s="121"/>
      <c r="D53" s="121"/>
      <c r="E53" s="93"/>
      <c r="F53" s="622"/>
      <c r="H53" s="620">
        <f t="shared" si="0"/>
        <v>0</v>
      </c>
    </row>
    <row r="54" spans="1:8" s="115" customFormat="1" ht="13.5">
      <c r="A54" s="122" t="s">
        <v>236</v>
      </c>
      <c r="B54" s="123">
        <f>SUM(B14+B23+B33+B44+B52)</f>
        <v>15708</v>
      </c>
      <c r="C54" s="101">
        <f>SUM(C14+C23+C33+C44+C52)</f>
        <v>11862</v>
      </c>
      <c r="D54" s="123">
        <f>SUM(D14+D23+D33+D44+D52)</f>
        <v>12822</v>
      </c>
      <c r="E54" s="93"/>
      <c r="F54" s="622"/>
      <c r="G54" s="630"/>
      <c r="H54" s="620">
        <f t="shared" si="0"/>
        <v>0</v>
      </c>
    </row>
    <row r="55" spans="1:8" ht="13.5">
      <c r="A55" s="96"/>
      <c r="B55" s="124"/>
      <c r="C55" s="125"/>
      <c r="D55" s="124"/>
      <c r="E55" s="93"/>
      <c r="F55" s="622"/>
      <c r="H55" s="620">
        <f t="shared" si="0"/>
        <v>0</v>
      </c>
    </row>
    <row r="56" spans="1:8" ht="13.5">
      <c r="A56" s="96"/>
      <c r="B56" s="124"/>
      <c r="C56" s="125"/>
      <c r="D56" s="124"/>
      <c r="E56" s="93"/>
      <c r="F56" s="622"/>
      <c r="H56" s="620">
        <f t="shared" si="0"/>
        <v>0</v>
      </c>
    </row>
    <row r="57" spans="1:8" ht="13.5">
      <c r="A57" s="96"/>
      <c r="B57" s="124"/>
      <c r="C57" s="125"/>
      <c r="D57" s="124"/>
      <c r="E57" s="93"/>
      <c r="F57" s="622"/>
      <c r="H57" s="620">
        <f t="shared" si="0"/>
        <v>0</v>
      </c>
    </row>
    <row r="58" spans="1:8" ht="13.5">
      <c r="A58" s="106" t="s">
        <v>237</v>
      </c>
      <c r="B58" s="104"/>
      <c r="C58" s="105"/>
      <c r="D58" s="104"/>
      <c r="E58" s="93"/>
      <c r="F58" s="622"/>
      <c r="H58" s="620">
        <f t="shared" si="0"/>
        <v>0</v>
      </c>
    </row>
    <row r="59" spans="1:8" ht="13.5">
      <c r="A59" s="94" t="s">
        <v>70</v>
      </c>
      <c r="B59" s="95">
        <f>'delprogram bil 4'!G315</f>
        <v>2516</v>
      </c>
      <c r="C59" s="95">
        <v>2909</v>
      </c>
      <c r="D59" s="95">
        <v>2709</v>
      </c>
      <c r="E59" s="93">
        <v>2516</v>
      </c>
      <c r="F59" s="622"/>
      <c r="H59" s="620">
        <f t="shared" si="0"/>
        <v>2516</v>
      </c>
    </row>
    <row r="60" spans="1:8" s="98" customFormat="1" ht="13.5">
      <c r="A60" s="96" t="s">
        <v>151</v>
      </c>
      <c r="B60" s="97">
        <f>'delprogram bil 4'!G327</f>
        <v>16</v>
      </c>
      <c r="C60" s="97">
        <v>25</v>
      </c>
      <c r="D60" s="97">
        <v>110</v>
      </c>
      <c r="E60" s="93">
        <v>16</v>
      </c>
      <c r="F60" s="622"/>
      <c r="G60" s="632"/>
      <c r="H60" s="620">
        <f t="shared" si="0"/>
        <v>16</v>
      </c>
    </row>
    <row r="61" spans="1:8" ht="13.5">
      <c r="A61" s="94" t="s">
        <v>115</v>
      </c>
      <c r="B61" s="95">
        <f>'delprogram bil 4'!G333</f>
        <v>390</v>
      </c>
      <c r="C61" s="95">
        <v>390</v>
      </c>
      <c r="D61" s="95">
        <v>390</v>
      </c>
      <c r="E61" s="93">
        <v>390</v>
      </c>
      <c r="F61" s="622"/>
      <c r="G61" s="620"/>
      <c r="H61" s="620">
        <f t="shared" si="0"/>
        <v>390</v>
      </c>
    </row>
    <row r="62" spans="1:8" s="98" customFormat="1" ht="13.5">
      <c r="A62" s="96" t="s">
        <v>83</v>
      </c>
      <c r="B62" s="99">
        <f>'delprogram bil 4'!G340</f>
        <v>75</v>
      </c>
      <c r="C62" s="99">
        <v>115</v>
      </c>
      <c r="D62" s="97">
        <v>80</v>
      </c>
      <c r="E62" s="93">
        <v>75</v>
      </c>
      <c r="F62" s="622"/>
      <c r="G62" s="632"/>
      <c r="H62" s="620">
        <f t="shared" si="0"/>
        <v>75</v>
      </c>
    </row>
    <row r="63" spans="1:8" ht="13.5">
      <c r="A63" s="94" t="s">
        <v>81</v>
      </c>
      <c r="B63" s="95">
        <f>'delprogram bil 4'!G320</f>
        <v>485</v>
      </c>
      <c r="C63" s="95">
        <v>410</v>
      </c>
      <c r="D63" s="95">
        <v>420</v>
      </c>
      <c r="E63" s="93">
        <v>485</v>
      </c>
      <c r="F63" s="622"/>
      <c r="G63" s="620"/>
      <c r="H63" s="620">
        <f t="shared" si="0"/>
        <v>485</v>
      </c>
    </row>
    <row r="64" spans="1:9" s="98" customFormat="1" ht="13.5">
      <c r="A64" s="96" t="s">
        <v>211</v>
      </c>
      <c r="B64" s="97">
        <f>'delprogram bil 4'!G359</f>
        <v>11787</v>
      </c>
      <c r="C64" s="97">
        <v>10007</v>
      </c>
      <c r="D64" s="97">
        <v>10061</v>
      </c>
      <c r="E64" s="93">
        <v>11832</v>
      </c>
      <c r="F64" s="622"/>
      <c r="G64" s="627">
        <f>120+10-24</f>
        <v>106</v>
      </c>
      <c r="H64" s="620">
        <f t="shared" si="0"/>
        <v>11938</v>
      </c>
      <c r="I64" s="127"/>
    </row>
    <row r="65" spans="1:8" ht="13.5">
      <c r="A65" s="100" t="s">
        <v>35</v>
      </c>
      <c r="B65" s="129">
        <f>SUM(B59:B64)</f>
        <v>15269</v>
      </c>
      <c r="C65" s="129">
        <f>SUM(C59:C64)</f>
        <v>13856</v>
      </c>
      <c r="D65" s="129">
        <f>SUM(D59:D64)</f>
        <v>13770</v>
      </c>
      <c r="E65" s="93"/>
      <c r="F65" s="622"/>
      <c r="H65" s="620">
        <f t="shared" si="0"/>
        <v>0</v>
      </c>
    </row>
    <row r="66" spans="1:8" s="131" customFormat="1" ht="13.5">
      <c r="A66" s="120"/>
      <c r="B66" s="130"/>
      <c r="C66" s="130"/>
      <c r="D66" s="130"/>
      <c r="E66" s="93"/>
      <c r="F66" s="622"/>
      <c r="G66" s="633"/>
      <c r="H66" s="620">
        <f t="shared" si="0"/>
        <v>0</v>
      </c>
    </row>
    <row r="67" spans="1:8" s="131" customFormat="1" ht="13.5">
      <c r="A67" s="120"/>
      <c r="B67" s="130"/>
      <c r="C67" s="130"/>
      <c r="D67" s="130"/>
      <c r="E67" s="93"/>
      <c r="F67" s="622"/>
      <c r="G67" s="633"/>
      <c r="H67" s="620">
        <f t="shared" si="0"/>
        <v>0</v>
      </c>
    </row>
    <row r="68" spans="1:8" s="131" customFormat="1" ht="13.5">
      <c r="A68" s="132" t="s">
        <v>238</v>
      </c>
      <c r="B68" s="129">
        <f>SUM(B54+B65)</f>
        <v>30977</v>
      </c>
      <c r="C68" s="129">
        <f>SUM(C54+C65)</f>
        <v>25718</v>
      </c>
      <c r="D68" s="129">
        <f>SUM(D54+D65)</f>
        <v>26592</v>
      </c>
      <c r="E68" s="93"/>
      <c r="F68" s="622"/>
      <c r="G68" s="633"/>
      <c r="H68" s="620">
        <f t="shared" si="0"/>
        <v>0</v>
      </c>
    </row>
    <row r="69" spans="1:8" s="131" customFormat="1" ht="13.5">
      <c r="A69" s="133"/>
      <c r="B69" s="130"/>
      <c r="C69" s="130"/>
      <c r="D69" s="130"/>
      <c r="E69" s="93"/>
      <c r="F69" s="622"/>
      <c r="G69" s="633"/>
      <c r="H69" s="620">
        <f t="shared" si="0"/>
        <v>0</v>
      </c>
    </row>
    <row r="70" spans="1:9" s="131" customFormat="1" ht="13.5">
      <c r="A70" s="133"/>
      <c r="B70" s="130"/>
      <c r="C70" s="130"/>
      <c r="D70" s="130"/>
      <c r="E70" s="93"/>
      <c r="F70" s="622"/>
      <c r="G70" s="633"/>
      <c r="H70" s="620">
        <f t="shared" si="0"/>
        <v>0</v>
      </c>
      <c r="I70" s="134"/>
    </row>
    <row r="71" spans="1:8" s="131" customFormat="1" ht="13.5">
      <c r="A71" s="96"/>
      <c r="B71" s="135"/>
      <c r="C71" s="136"/>
      <c r="D71" s="135"/>
      <c r="E71" s="93"/>
      <c r="F71" s="622"/>
      <c r="G71" s="633"/>
      <c r="H71" s="620">
        <f t="shared" si="0"/>
        <v>0</v>
      </c>
    </row>
    <row r="72" spans="1:8" ht="13.5">
      <c r="A72" s="137" t="s">
        <v>239</v>
      </c>
      <c r="B72" s="104"/>
      <c r="C72" s="105"/>
      <c r="D72" s="104"/>
      <c r="E72" s="93"/>
      <c r="F72" s="622"/>
      <c r="H72" s="620">
        <f t="shared" si="0"/>
        <v>0</v>
      </c>
    </row>
    <row r="73" spans="1:8" ht="13.5">
      <c r="A73" s="94" t="s">
        <v>69</v>
      </c>
      <c r="B73" s="95">
        <f>'delprogram bil 4'!G367</f>
        <v>13850</v>
      </c>
      <c r="C73" s="95">
        <v>13122</v>
      </c>
      <c r="D73" s="95">
        <v>13160</v>
      </c>
      <c r="E73" s="93">
        <v>13709</v>
      </c>
      <c r="F73" s="622"/>
      <c r="G73" s="625">
        <v>140</v>
      </c>
      <c r="H73" s="620">
        <f>E73+F73+G73</f>
        <v>13849</v>
      </c>
    </row>
    <row r="74" spans="1:8" ht="13.5">
      <c r="A74" s="100" t="s">
        <v>35</v>
      </c>
      <c r="B74" s="101">
        <f>SUM(B73:B73)</f>
        <v>13850</v>
      </c>
      <c r="C74" s="101">
        <f>SUM(C73:C73)</f>
        <v>13122</v>
      </c>
      <c r="D74" s="101">
        <f>SUM(D73:D73)</f>
        <v>13160</v>
      </c>
      <c r="E74" s="93"/>
      <c r="F74" s="622"/>
      <c r="G74" s="620"/>
      <c r="H74" s="620">
        <f t="shared" si="0"/>
        <v>0</v>
      </c>
    </row>
    <row r="75" spans="1:8" ht="13.5">
      <c r="A75" s="120"/>
      <c r="B75" s="121"/>
      <c r="C75" s="121"/>
      <c r="D75" s="121"/>
      <c r="E75" s="93"/>
      <c r="F75" s="622"/>
      <c r="G75" s="620"/>
      <c r="H75" s="620">
        <f>E75+F75+G75</f>
        <v>0</v>
      </c>
    </row>
    <row r="76" spans="1:8" ht="13.5">
      <c r="A76" s="132" t="s">
        <v>240</v>
      </c>
      <c r="B76" s="101">
        <f>SUM(B74)</f>
        <v>13850</v>
      </c>
      <c r="C76" s="101">
        <f>SUM(C74)</f>
        <v>13122</v>
      </c>
      <c r="D76" s="101">
        <f>SUM(D74)</f>
        <v>13160</v>
      </c>
      <c r="E76" s="93"/>
      <c r="F76" s="622"/>
      <c r="G76" s="620"/>
      <c r="H76" s="620">
        <f>E76+F76+G76</f>
        <v>0</v>
      </c>
    </row>
    <row r="77" spans="1:8" s="131" customFormat="1" ht="13.5">
      <c r="A77" s="96"/>
      <c r="B77" s="135"/>
      <c r="C77" s="136"/>
      <c r="D77" s="135"/>
      <c r="E77" s="93"/>
      <c r="F77" s="622"/>
      <c r="G77" s="633"/>
      <c r="H77" s="620">
        <f>E77+F77+G77</f>
        <v>0</v>
      </c>
    </row>
    <row r="78" spans="1:8" s="131" customFormat="1" ht="13.5">
      <c r="A78" s="100"/>
      <c r="B78" s="138"/>
      <c r="C78" s="138"/>
      <c r="D78" s="138"/>
      <c r="E78" s="93"/>
      <c r="F78" s="622"/>
      <c r="G78" s="633"/>
      <c r="H78" s="620"/>
    </row>
    <row r="79" spans="1:9" ht="12.75">
      <c r="A79" s="132" t="s">
        <v>241</v>
      </c>
      <c r="B79" s="129">
        <f>SUM(B68+B76)</f>
        <v>44827</v>
      </c>
      <c r="C79" s="129">
        <f>SUM(C68+C76)</f>
        <v>38840</v>
      </c>
      <c r="D79" s="129">
        <f>SUM(D68+D76)</f>
        <v>39752</v>
      </c>
      <c r="E79" s="624">
        <f>SUM(E10:E78)</f>
        <v>42034</v>
      </c>
      <c r="F79" s="624">
        <f>SUM(F10:F78)</f>
        <v>1613</v>
      </c>
      <c r="G79" s="634">
        <f>SUM(G10:G78)</f>
        <v>1330</v>
      </c>
      <c r="H79" s="620">
        <f>E79+F79+G79</f>
        <v>44977</v>
      </c>
      <c r="I79" s="128"/>
    </row>
    <row r="80" spans="1:5" ht="13.5">
      <c r="A80" s="133"/>
      <c r="B80" s="139"/>
      <c r="C80" s="130"/>
      <c r="D80" s="139"/>
      <c r="E80" s="93"/>
    </row>
    <row r="81" spans="1:5" ht="13.5">
      <c r="A81" s="133"/>
      <c r="B81" s="139"/>
      <c r="C81" s="130"/>
      <c r="D81" s="139"/>
      <c r="E81" s="93"/>
    </row>
    <row r="82" spans="1:5" ht="13.5">
      <c r="A82" s="137" t="s">
        <v>242</v>
      </c>
      <c r="B82" s="141"/>
      <c r="C82" s="140"/>
      <c r="D82" s="141"/>
      <c r="E82" s="93"/>
    </row>
    <row r="83" spans="1:5" ht="13.5">
      <c r="A83" s="103" t="s">
        <v>243</v>
      </c>
      <c r="B83" s="142">
        <f>SUM(B54)</f>
        <v>15708</v>
      </c>
      <c r="C83" s="142">
        <f>SUM(C54)</f>
        <v>11862</v>
      </c>
      <c r="D83" s="142">
        <f>SUM(D54)</f>
        <v>12822</v>
      </c>
      <c r="E83" s="93"/>
    </row>
    <row r="84" spans="1:5" ht="13.5">
      <c r="A84" s="103" t="s">
        <v>244</v>
      </c>
      <c r="B84" s="92">
        <f>SUM(B59)</f>
        <v>2516</v>
      </c>
      <c r="C84" s="92">
        <f>SUM(C59)</f>
        <v>2909</v>
      </c>
      <c r="D84" s="92">
        <f>SUM(D59)</f>
        <v>2709</v>
      </c>
      <c r="E84" s="93"/>
    </row>
    <row r="85" spans="1:5" ht="13.5">
      <c r="A85" s="103" t="s">
        <v>245</v>
      </c>
      <c r="B85" s="92">
        <f>SUM(B64)</f>
        <v>11787</v>
      </c>
      <c r="C85" s="92">
        <f>SUM(C64)</f>
        <v>10007</v>
      </c>
      <c r="D85" s="92">
        <f>SUM(D64)</f>
        <v>10061</v>
      </c>
      <c r="E85" s="93"/>
    </row>
    <row r="86" spans="1:5" ht="13.5">
      <c r="A86" s="137" t="s">
        <v>246</v>
      </c>
      <c r="B86" s="143">
        <f>SUM(B68)</f>
        <v>30977</v>
      </c>
      <c r="C86" s="143">
        <f>SUM(C68)</f>
        <v>25718</v>
      </c>
      <c r="D86" s="143">
        <f>SUM(D68)</f>
        <v>26592</v>
      </c>
      <c r="E86" s="93"/>
    </row>
    <row r="87" spans="1:9" ht="13.5">
      <c r="A87" s="137" t="s">
        <v>247</v>
      </c>
      <c r="B87" s="144">
        <f>SUM(B76)</f>
        <v>13850</v>
      </c>
      <c r="C87" s="144">
        <f>SUM(C74)</f>
        <v>13122</v>
      </c>
      <c r="D87" s="144">
        <f>SUM(D76)</f>
        <v>13160</v>
      </c>
      <c r="E87" s="93"/>
      <c r="I87" s="128"/>
    </row>
    <row r="88" spans="1:7" ht="13.5">
      <c r="A88" s="146" t="s">
        <v>241</v>
      </c>
      <c r="B88" s="129">
        <f>+B86+B87</f>
        <v>44827</v>
      </c>
      <c r="C88" s="129">
        <f>SUM(C86:C87)</f>
        <v>38840</v>
      </c>
      <c r="D88" s="129">
        <f>+D86+D87</f>
        <v>39752</v>
      </c>
      <c r="E88" s="93"/>
      <c r="G88" s="620"/>
    </row>
    <row r="89" spans="1:4" ht="13.5">
      <c r="A89" s="137"/>
      <c r="B89" s="137"/>
      <c r="C89" s="126"/>
      <c r="D89" s="140"/>
    </row>
    <row r="90" spans="1:4" ht="13.5">
      <c r="A90" s="147"/>
      <c r="B90" s="147"/>
      <c r="C90" s="141"/>
      <c r="D90" s="141"/>
    </row>
    <row r="91" spans="1:4" ht="13.5">
      <c r="A91" s="148"/>
      <c r="B91" s="148"/>
      <c r="C91" s="141"/>
      <c r="D91" s="141"/>
    </row>
    <row r="92" spans="1:4" ht="13.5">
      <c r="A92" s="147"/>
      <c r="B92" s="147"/>
      <c r="C92" s="141"/>
      <c r="D92" s="141"/>
    </row>
    <row r="93" spans="1:4" ht="13.5">
      <c r="A93" s="149"/>
      <c r="B93" s="149"/>
      <c r="C93" s="141"/>
      <c r="D93" s="141"/>
    </row>
    <row r="94" spans="1:4" ht="13.5">
      <c r="A94" s="150"/>
      <c r="B94" s="150"/>
      <c r="C94" s="141"/>
      <c r="D94" s="151"/>
    </row>
    <row r="95" spans="1:4" ht="13.5">
      <c r="A95" s="150"/>
      <c r="B95" s="150"/>
      <c r="C95" s="141"/>
      <c r="D95" s="151"/>
    </row>
    <row r="96" spans="1:4" ht="13.5">
      <c r="A96" s="150"/>
      <c r="B96" s="150"/>
      <c r="C96" s="141"/>
      <c r="D96" s="151"/>
    </row>
    <row r="97" spans="1:4" ht="13.5">
      <c r="A97" s="150"/>
      <c r="B97" s="150"/>
      <c r="C97" s="141"/>
      <c r="D97" s="151"/>
    </row>
    <row r="98" spans="1:4" ht="13.5">
      <c r="A98" s="150"/>
      <c r="B98" s="150"/>
      <c r="C98" s="141"/>
      <c r="D98" s="151"/>
    </row>
    <row r="99" spans="1:4" ht="13.5">
      <c r="A99" s="150"/>
      <c r="B99" s="150"/>
      <c r="C99" s="141"/>
      <c r="D99" s="151"/>
    </row>
    <row r="100" spans="1:4" ht="13.5">
      <c r="A100" s="150"/>
      <c r="B100" s="506"/>
      <c r="C100" s="141"/>
      <c r="D100" s="151"/>
    </row>
    <row r="101" spans="1:4" ht="13.5">
      <c r="A101" s="150"/>
      <c r="B101" s="150"/>
      <c r="C101" s="141"/>
      <c r="D101" s="151"/>
    </row>
    <row r="102" spans="1:4" ht="13.5">
      <c r="A102" s="150"/>
      <c r="B102" s="506"/>
      <c r="C102" s="141"/>
      <c r="D102" s="151"/>
    </row>
    <row r="103" spans="1:4" ht="13.5">
      <c r="A103" s="150"/>
      <c r="B103" s="506"/>
      <c r="C103" s="141"/>
      <c r="D103" s="151"/>
    </row>
    <row r="104" spans="1:4" ht="13.5">
      <c r="A104" s="150"/>
      <c r="B104" s="150"/>
      <c r="C104" s="141"/>
      <c r="D104" s="151"/>
    </row>
    <row r="105" spans="1:4" ht="13.5">
      <c r="A105" s="150"/>
      <c r="B105" s="150"/>
      <c r="C105" s="141"/>
      <c r="D105" s="151"/>
    </row>
    <row r="106" spans="1:4" ht="13.5">
      <c r="A106" s="150"/>
      <c r="B106" s="150"/>
      <c r="C106" s="141"/>
      <c r="D106" s="151"/>
    </row>
    <row r="107" spans="1:4" ht="13.5">
      <c r="A107" s="150"/>
      <c r="B107" s="150"/>
      <c r="C107" s="141"/>
      <c r="D107" s="151"/>
    </row>
    <row r="108" spans="1:4" ht="13.5">
      <c r="A108" s="150"/>
      <c r="B108" s="150"/>
      <c r="C108" s="141"/>
      <c r="D108" s="151"/>
    </row>
    <row r="109" spans="1:4" ht="13.5">
      <c r="A109" s="152"/>
      <c r="B109" s="152"/>
      <c r="C109" s="153"/>
      <c r="D109" s="79"/>
    </row>
    <row r="110" spans="1:4" ht="13.5">
      <c r="A110" s="152"/>
      <c r="B110" s="152"/>
      <c r="C110" s="153"/>
      <c r="D110" s="79"/>
    </row>
    <row r="111" spans="1:4" ht="13.5">
      <c r="A111" s="152"/>
      <c r="B111" s="152"/>
      <c r="C111" s="153"/>
      <c r="D111" s="79"/>
    </row>
    <row r="112" spans="1:4" ht="13.5">
      <c r="A112" s="152"/>
      <c r="B112" s="152"/>
      <c r="C112" s="153"/>
      <c r="D112" s="79"/>
    </row>
    <row r="113" spans="1:4" ht="13.5">
      <c r="A113" s="152"/>
      <c r="B113" s="152"/>
      <c r="C113" s="153"/>
      <c r="D113" s="79"/>
    </row>
    <row r="114" spans="1:4" ht="13.5">
      <c r="A114" s="152"/>
      <c r="B114" s="152"/>
      <c r="C114" s="153"/>
      <c r="D114" s="79"/>
    </row>
    <row r="115" spans="1:4" ht="13.5">
      <c r="A115" s="152"/>
      <c r="B115" s="152"/>
      <c r="C115" s="153"/>
      <c r="D115" s="79"/>
    </row>
    <row r="116" spans="1:4" ht="13.5">
      <c r="A116" s="152"/>
      <c r="B116" s="152"/>
      <c r="C116" s="153"/>
      <c r="D116" s="79"/>
    </row>
    <row r="117" spans="1:4" ht="13.5">
      <c r="A117" s="152"/>
      <c r="B117" s="152"/>
      <c r="C117" s="153"/>
      <c r="D117" s="79"/>
    </row>
    <row r="118" spans="1:4" ht="13.5">
      <c r="A118" s="152"/>
      <c r="B118" s="152"/>
      <c r="C118" s="153"/>
      <c r="D118" s="79"/>
    </row>
    <row r="119" spans="1:4" ht="13.5">
      <c r="A119" s="152"/>
      <c r="B119" s="152"/>
      <c r="C119" s="153"/>
      <c r="D119" s="79"/>
    </row>
    <row r="120" spans="1:4" ht="13.5">
      <c r="A120" s="152"/>
      <c r="B120" s="152"/>
      <c r="C120" s="153"/>
      <c r="D120" s="79"/>
    </row>
    <row r="121" spans="1:4" ht="13.5">
      <c r="A121" s="152"/>
      <c r="B121" s="152"/>
      <c r="C121" s="153"/>
      <c r="D121" s="79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5" r:id="rId1"/>
  <rowBreaks count="1" manualBreakCount="1"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11111111"/>
  <dimension ref="A1:K387"/>
  <sheetViews>
    <sheetView showGridLines="0" workbookViewId="0" topLeftCell="A1">
      <selection activeCell="A361" sqref="A361:H387"/>
    </sheetView>
  </sheetViews>
  <sheetFormatPr defaultColWidth="9.140625" defaultRowHeight="12.75"/>
  <cols>
    <col min="1" max="1" width="13.421875" style="2" customWidth="1"/>
    <col min="2" max="2" width="33.7109375" style="2" customWidth="1"/>
    <col min="3" max="3" width="8.28125" style="2" customWidth="1"/>
    <col min="4" max="4" width="7.421875" style="2" customWidth="1"/>
    <col min="5" max="5" width="8.00390625" style="2" customWidth="1"/>
    <col min="6" max="6" width="6.8515625" style="2" customWidth="1"/>
    <col min="7" max="7" width="11.8515625" style="3" customWidth="1"/>
    <col min="8" max="8" width="11.28125" style="5" customWidth="1"/>
    <col min="9" max="9" width="10.421875" style="13" bestFit="1" customWidth="1"/>
    <col min="10" max="16384" width="10.28125" style="2" customWidth="1"/>
  </cols>
  <sheetData>
    <row r="1" spans="1:9" ht="19.5" customHeight="1">
      <c r="A1" s="345" t="s">
        <v>313</v>
      </c>
      <c r="C1" s="3"/>
      <c r="D1" s="4"/>
      <c r="E1" s="4"/>
      <c r="F1" s="4"/>
      <c r="G1" s="333" t="s">
        <v>304</v>
      </c>
      <c r="I1" s="1"/>
    </row>
    <row r="2" spans="1:9" ht="22.5">
      <c r="A2" s="6"/>
      <c r="C2" s="3"/>
      <c r="D2" s="4"/>
      <c r="E2" s="4"/>
      <c r="F2" s="4"/>
      <c r="I2" s="1"/>
    </row>
    <row r="3" spans="1:9" s="60" customFormat="1" ht="14.25" customHeight="1">
      <c r="A3" s="42" t="s">
        <v>14</v>
      </c>
      <c r="B3" s="62" t="s">
        <v>30</v>
      </c>
      <c r="C3" s="63" t="s">
        <v>157</v>
      </c>
      <c r="D3" s="637" t="s">
        <v>158</v>
      </c>
      <c r="E3" s="637"/>
      <c r="F3" s="637"/>
      <c r="G3" s="64" t="s">
        <v>35</v>
      </c>
      <c r="H3" s="48"/>
      <c r="I3" s="61"/>
    </row>
    <row r="4" spans="1:9" s="37" customFormat="1" ht="14.25" customHeight="1">
      <c r="A4" s="65"/>
      <c r="B4" s="38"/>
      <c r="C4" s="67"/>
      <c r="D4" s="66" t="s">
        <v>159</v>
      </c>
      <c r="E4" s="66" t="s">
        <v>155</v>
      </c>
      <c r="F4" s="66" t="s">
        <v>160</v>
      </c>
      <c r="G4" s="68"/>
      <c r="H4" s="48"/>
      <c r="I4" s="39"/>
    </row>
    <row r="5" spans="1:9" s="37" customFormat="1" ht="14.25" customHeight="1">
      <c r="A5" s="43"/>
      <c r="B5" s="43"/>
      <c r="C5" s="57"/>
      <c r="D5" s="34"/>
      <c r="E5" s="34"/>
      <c r="F5" s="34"/>
      <c r="G5" s="59"/>
      <c r="H5" s="48"/>
      <c r="I5" s="39"/>
    </row>
    <row r="6" spans="1:9" s="37" customFormat="1" ht="14.25" customHeight="1">
      <c r="A6" s="38" t="s">
        <v>116</v>
      </c>
      <c r="B6" s="43"/>
      <c r="C6" s="44"/>
      <c r="D6" s="45"/>
      <c r="E6" s="45"/>
      <c r="F6" s="45"/>
      <c r="G6" s="58"/>
      <c r="H6" s="48"/>
      <c r="I6" s="39"/>
    </row>
    <row r="7" spans="1:9" ht="12.75">
      <c r="A7" s="20"/>
      <c r="B7" s="46"/>
      <c r="C7" s="49"/>
      <c r="D7" s="47"/>
      <c r="E7" s="47"/>
      <c r="F7" s="47"/>
      <c r="G7" s="53"/>
      <c r="H7" s="19" t="s">
        <v>31</v>
      </c>
      <c r="I7" s="1"/>
    </row>
    <row r="8" spans="1:9" ht="12.75">
      <c r="A8" s="20" t="s">
        <v>161</v>
      </c>
      <c r="B8" s="21"/>
      <c r="C8" s="50"/>
      <c r="G8" s="54"/>
      <c r="H8" s="40">
        <v>2005</v>
      </c>
      <c r="I8" s="1"/>
    </row>
    <row r="9" spans="1:9" ht="12.75">
      <c r="A9" s="10"/>
      <c r="B9" s="21" t="s">
        <v>34</v>
      </c>
      <c r="C9" s="50"/>
      <c r="D9" s="34"/>
      <c r="E9" s="34"/>
      <c r="F9" s="34"/>
      <c r="G9" s="55">
        <f aca="true" t="shared" si="0" ref="G9:G16">SUM(C9:F9)</f>
        <v>0</v>
      </c>
      <c r="H9" s="24"/>
      <c r="I9" s="36" t="s">
        <v>156</v>
      </c>
    </row>
    <row r="10" spans="1:11" ht="12.75">
      <c r="A10" s="22"/>
      <c r="B10" s="23" t="s">
        <v>119</v>
      </c>
      <c r="C10" s="51"/>
      <c r="D10" s="41">
        <f>100+300</f>
        <v>400</v>
      </c>
      <c r="E10" s="41">
        <v>30</v>
      </c>
      <c r="F10" s="41"/>
      <c r="G10" s="55">
        <f t="shared" si="0"/>
        <v>430</v>
      </c>
      <c r="H10" s="24"/>
      <c r="I10" s="1"/>
      <c r="K10" s="3"/>
    </row>
    <row r="11" spans="1:9" ht="12.75">
      <c r="A11" s="20"/>
      <c r="B11" s="23" t="s">
        <v>152</v>
      </c>
      <c r="C11" s="51"/>
      <c r="D11" s="41">
        <f>80+125</f>
        <v>205</v>
      </c>
      <c r="E11" s="41">
        <v>20</v>
      </c>
      <c r="F11" s="41"/>
      <c r="G11" s="55">
        <f t="shared" si="0"/>
        <v>225</v>
      </c>
      <c r="H11" s="24"/>
      <c r="I11" s="1" t="s">
        <v>377</v>
      </c>
    </row>
    <row r="12" spans="1:9" ht="12.75">
      <c r="A12" s="20"/>
      <c r="B12" s="23" t="s">
        <v>163</v>
      </c>
      <c r="C12" s="51"/>
      <c r="D12" s="41">
        <v>30</v>
      </c>
      <c r="E12" s="41">
        <v>10</v>
      </c>
      <c r="F12" s="41"/>
      <c r="G12" s="55">
        <f t="shared" si="0"/>
        <v>40</v>
      </c>
      <c r="H12" s="24"/>
      <c r="I12" s="1"/>
    </row>
    <row r="13" spans="1:9" ht="12.75">
      <c r="A13" s="20"/>
      <c r="B13" s="23" t="s">
        <v>48</v>
      </c>
      <c r="C13" s="51"/>
      <c r="D13" s="41">
        <v>30</v>
      </c>
      <c r="E13" s="41">
        <v>10</v>
      </c>
      <c r="F13" s="41"/>
      <c r="G13" s="55">
        <f t="shared" si="0"/>
        <v>40</v>
      </c>
      <c r="H13" s="24"/>
      <c r="I13" s="1"/>
    </row>
    <row r="14" spans="1:9" ht="12.75">
      <c r="A14" s="20"/>
      <c r="B14" s="23" t="s">
        <v>121</v>
      </c>
      <c r="C14" s="51"/>
      <c r="D14" s="41">
        <v>30</v>
      </c>
      <c r="E14" s="41">
        <v>10</v>
      </c>
      <c r="F14" s="41"/>
      <c r="G14" s="55">
        <f t="shared" si="0"/>
        <v>40</v>
      </c>
      <c r="H14" s="24"/>
      <c r="I14" s="1"/>
    </row>
    <row r="15" spans="1:9" ht="12.75">
      <c r="A15" s="20"/>
      <c r="B15" s="23" t="s">
        <v>117</v>
      </c>
      <c r="C15" s="51"/>
      <c r="D15" s="41">
        <v>15</v>
      </c>
      <c r="E15" s="41">
        <v>5</v>
      </c>
      <c r="F15" s="41"/>
      <c r="G15" s="55">
        <f t="shared" si="0"/>
        <v>20</v>
      </c>
      <c r="H15" s="24"/>
      <c r="I15" s="1"/>
    </row>
    <row r="16" spans="1:9" ht="12.75">
      <c r="A16" s="20"/>
      <c r="B16" s="23" t="s">
        <v>118</v>
      </c>
      <c r="C16" s="51"/>
      <c r="D16" s="41">
        <v>10</v>
      </c>
      <c r="E16" s="41">
        <v>10</v>
      </c>
      <c r="F16" s="41"/>
      <c r="G16" s="55">
        <f t="shared" si="0"/>
        <v>20</v>
      </c>
      <c r="H16" s="24"/>
      <c r="I16" s="1"/>
    </row>
    <row r="17" spans="1:9" ht="12.75">
      <c r="A17" s="25"/>
      <c r="B17" s="26" t="s">
        <v>35</v>
      </c>
      <c r="C17" s="52"/>
      <c r="D17" s="35">
        <f>SUM(D10:D16)</f>
        <v>720</v>
      </c>
      <c r="E17" s="35">
        <f>SUM(E10:E16)</f>
        <v>95</v>
      </c>
      <c r="F17" s="35"/>
      <c r="G17" s="52">
        <f>SUM(G9:G16)</f>
        <v>815</v>
      </c>
      <c r="H17" s="27">
        <v>600</v>
      </c>
      <c r="I17" s="1"/>
    </row>
    <row r="18" spans="1:9" ht="12.75">
      <c r="A18" s="70"/>
      <c r="B18" s="31"/>
      <c r="C18" s="28"/>
      <c r="D18" s="28"/>
      <c r="E18" s="28"/>
      <c r="F18" s="28"/>
      <c r="G18" s="41"/>
      <c r="H18" s="32"/>
      <c r="I18" s="1"/>
    </row>
    <row r="19" spans="1:9" ht="12.75">
      <c r="A19" s="20"/>
      <c r="B19" s="46"/>
      <c r="C19" s="49"/>
      <c r="D19" s="47"/>
      <c r="E19" s="47"/>
      <c r="F19" s="47"/>
      <c r="G19" s="53"/>
      <c r="H19" s="19" t="s">
        <v>31</v>
      </c>
      <c r="I19" s="1"/>
    </row>
    <row r="20" spans="1:9" ht="12.75">
      <c r="A20" s="20" t="s">
        <v>47</v>
      </c>
      <c r="B20" s="21"/>
      <c r="C20" s="50"/>
      <c r="G20" s="54"/>
      <c r="H20" s="40">
        <v>2005</v>
      </c>
      <c r="I20" s="1"/>
    </row>
    <row r="21" spans="1:9" ht="12.75">
      <c r="A21" s="10"/>
      <c r="B21" s="23" t="s">
        <v>34</v>
      </c>
      <c r="C21" s="50"/>
      <c r="D21" s="34"/>
      <c r="E21" s="34"/>
      <c r="F21" s="34"/>
      <c r="G21" s="55">
        <f>SUM(C21:F21)</f>
        <v>0</v>
      </c>
      <c r="H21" s="24"/>
      <c r="I21" s="1"/>
    </row>
    <row r="22" spans="1:9" ht="12.75">
      <c r="A22" s="22"/>
      <c r="B22" s="23" t="s">
        <v>48</v>
      </c>
      <c r="C22" s="51">
        <v>3</v>
      </c>
      <c r="D22" s="41"/>
      <c r="E22" s="41"/>
      <c r="F22" s="41"/>
      <c r="G22" s="55">
        <f>SUM(C22:F22)</f>
        <v>3</v>
      </c>
      <c r="H22" s="24"/>
      <c r="I22" s="1"/>
    </row>
    <row r="23" spans="1:9" ht="12.75">
      <c r="A23" s="25"/>
      <c r="B23" s="26" t="s">
        <v>35</v>
      </c>
      <c r="C23" s="52">
        <f>SUM(C21:C22)</f>
        <v>3</v>
      </c>
      <c r="D23" s="35">
        <f>SUM(D21:D22)</f>
        <v>0</v>
      </c>
      <c r="E23" s="35">
        <f>SUM(E21:E22)</f>
        <v>0</v>
      </c>
      <c r="F23" s="35">
        <f>SUM(F21:F22)</f>
        <v>0</v>
      </c>
      <c r="G23" s="52">
        <f>SUM(G21:G22)</f>
        <v>3</v>
      </c>
      <c r="H23" s="27">
        <v>0</v>
      </c>
      <c r="I23" s="1"/>
    </row>
    <row r="24" spans="1:9" ht="12.75">
      <c r="A24" s="70"/>
      <c r="B24" s="31"/>
      <c r="C24" s="28"/>
      <c r="D24" s="28"/>
      <c r="E24" s="28"/>
      <c r="F24" s="28"/>
      <c r="G24" s="41"/>
      <c r="H24" s="32"/>
      <c r="I24" s="1"/>
    </row>
    <row r="25" spans="1:10" ht="12.75">
      <c r="A25" s="20"/>
      <c r="B25" s="46"/>
      <c r="C25" s="49"/>
      <c r="D25" s="47"/>
      <c r="E25" s="47"/>
      <c r="F25" s="47"/>
      <c r="G25" s="53"/>
      <c r="H25" s="19" t="s">
        <v>31</v>
      </c>
      <c r="I25" s="1"/>
      <c r="J25" s="11"/>
    </row>
    <row r="26" spans="1:10" ht="12.75">
      <c r="A26" s="20" t="s">
        <v>51</v>
      </c>
      <c r="B26" s="21"/>
      <c r="C26" s="50"/>
      <c r="G26" s="54"/>
      <c r="H26" s="40">
        <v>2005</v>
      </c>
      <c r="I26" s="1"/>
      <c r="J26" s="11"/>
    </row>
    <row r="27" spans="1:10" ht="12.75">
      <c r="A27" s="10"/>
      <c r="B27" s="23" t="s">
        <v>34</v>
      </c>
      <c r="C27" s="50"/>
      <c r="D27" s="34"/>
      <c r="E27" s="34"/>
      <c r="F27" s="34"/>
      <c r="G27" s="55">
        <f>SUM(C27:F27)</f>
        <v>0</v>
      </c>
      <c r="H27" s="24"/>
      <c r="I27" s="1"/>
      <c r="J27" s="11"/>
    </row>
    <row r="28" spans="1:10" ht="12.75">
      <c r="A28" s="10"/>
      <c r="B28" s="23" t="s">
        <v>21</v>
      </c>
      <c r="C28" s="50">
        <f>240+28</f>
        <v>268</v>
      </c>
      <c r="D28" s="34"/>
      <c r="E28" s="34"/>
      <c r="F28" s="34"/>
      <c r="G28" s="55">
        <f>SUM(C28:F28)</f>
        <v>268</v>
      </c>
      <c r="H28" s="24"/>
      <c r="I28" s="1" t="s">
        <v>377</v>
      </c>
      <c r="J28" s="11"/>
    </row>
    <row r="29" spans="1:9" ht="12.75">
      <c r="A29" s="22"/>
      <c r="B29" s="23" t="s">
        <v>101</v>
      </c>
      <c r="C29" s="51"/>
      <c r="D29" s="41">
        <v>72</v>
      </c>
      <c r="E29" s="41"/>
      <c r="F29" s="41"/>
      <c r="G29" s="55">
        <f>SUM(C29:F29)</f>
        <v>72</v>
      </c>
      <c r="H29" s="24"/>
      <c r="I29" s="1"/>
    </row>
    <row r="30" spans="1:9" ht="12.75">
      <c r="A30" s="25"/>
      <c r="B30" s="26" t="s">
        <v>35</v>
      </c>
      <c r="C30" s="52">
        <f>SUM(C27:C29)</f>
        <v>268</v>
      </c>
      <c r="D30" s="35">
        <f>SUM(D27:D29)</f>
        <v>72</v>
      </c>
      <c r="E30" s="35">
        <f>SUM(E27:E29)</f>
        <v>0</v>
      </c>
      <c r="F30" s="35">
        <f>SUM(F27:F29)</f>
        <v>0</v>
      </c>
      <c r="G30" s="52">
        <f>SUM(G27:G29)</f>
        <v>340</v>
      </c>
      <c r="H30" s="27">
        <v>265</v>
      </c>
      <c r="I30" s="1"/>
    </row>
    <row r="31" spans="1:9" ht="12.75">
      <c r="A31" s="70"/>
      <c r="B31" s="31"/>
      <c r="C31" s="28"/>
      <c r="D31" s="28"/>
      <c r="E31" s="28"/>
      <c r="F31" s="28"/>
      <c r="G31" s="41"/>
      <c r="H31" s="32"/>
      <c r="I31" s="1"/>
    </row>
    <row r="32" spans="1:9" ht="12.75">
      <c r="A32" s="20"/>
      <c r="B32" s="46"/>
      <c r="C32" s="49"/>
      <c r="D32" s="47"/>
      <c r="E32" s="47"/>
      <c r="F32" s="47"/>
      <c r="G32" s="53"/>
      <c r="H32" s="19" t="s">
        <v>31</v>
      </c>
      <c r="I32" s="1"/>
    </row>
    <row r="33" spans="1:9" ht="12.75">
      <c r="A33" s="20" t="s">
        <v>15</v>
      </c>
      <c r="B33" s="21"/>
      <c r="C33" s="50"/>
      <c r="G33" s="54"/>
      <c r="H33" s="40">
        <v>2005</v>
      </c>
      <c r="I33" s="1"/>
    </row>
    <row r="34" spans="1:9" ht="12.75">
      <c r="A34" s="10"/>
      <c r="B34" s="23" t="s">
        <v>34</v>
      </c>
      <c r="C34" s="50"/>
      <c r="D34" s="34"/>
      <c r="E34" s="34"/>
      <c r="F34" s="34"/>
      <c r="G34" s="55">
        <f>SUM(C34:F34)</f>
        <v>0</v>
      </c>
      <c r="H34" s="24"/>
      <c r="I34" s="1"/>
    </row>
    <row r="35" spans="1:9" ht="12.75">
      <c r="A35" s="22"/>
      <c r="B35" s="23" t="s">
        <v>38</v>
      </c>
      <c r="C35" s="51"/>
      <c r="D35" s="41">
        <v>30</v>
      </c>
      <c r="E35" s="41">
        <v>15</v>
      </c>
      <c r="F35" s="41"/>
      <c r="G35" s="55">
        <f>SUM(C35:F35)</f>
        <v>45</v>
      </c>
      <c r="H35" s="24"/>
      <c r="I35" s="1"/>
    </row>
    <row r="36" spans="1:9" ht="12.75">
      <c r="A36" s="20"/>
      <c r="B36" s="23" t="s">
        <v>39</v>
      </c>
      <c r="C36" s="51"/>
      <c r="D36" s="41">
        <v>10</v>
      </c>
      <c r="E36" s="41"/>
      <c r="F36" s="41"/>
      <c r="G36" s="55">
        <f>SUM(C36:F36)</f>
        <v>10</v>
      </c>
      <c r="H36" s="24"/>
      <c r="I36" s="1"/>
    </row>
    <row r="37" spans="1:9" ht="12.75">
      <c r="A37" s="20"/>
      <c r="B37" s="23" t="s">
        <v>93</v>
      </c>
      <c r="C37" s="51"/>
      <c r="D37" s="41">
        <v>5</v>
      </c>
      <c r="E37" s="41"/>
      <c r="F37" s="41"/>
      <c r="G37" s="55">
        <f>SUM(C37:F37)</f>
        <v>5</v>
      </c>
      <c r="H37" s="24"/>
      <c r="I37" s="1"/>
    </row>
    <row r="38" spans="1:9" ht="12.75">
      <c r="A38" s="20"/>
      <c r="B38" s="23" t="s">
        <v>40</v>
      </c>
      <c r="C38" s="51">
        <v>230</v>
      </c>
      <c r="D38" s="41"/>
      <c r="E38" s="41"/>
      <c r="F38" s="41"/>
      <c r="G38" s="55">
        <f>SUM(C38:F38)</f>
        <v>230</v>
      </c>
      <c r="H38" s="24"/>
      <c r="I38" s="1"/>
    </row>
    <row r="39" spans="1:9" ht="12.75">
      <c r="A39" s="25"/>
      <c r="B39" s="26" t="s">
        <v>35</v>
      </c>
      <c r="C39" s="52">
        <f>SUM(C34:C38)</f>
        <v>230</v>
      </c>
      <c r="D39" s="35">
        <f>SUM(D34:D38)</f>
        <v>45</v>
      </c>
      <c r="E39" s="35">
        <f>SUM(E34:E38)</f>
        <v>15</v>
      </c>
      <c r="F39" s="35">
        <f>SUM(F34:F38)</f>
        <v>0</v>
      </c>
      <c r="G39" s="52">
        <f>SUM(G34:G38)</f>
        <v>290</v>
      </c>
      <c r="H39" s="27">
        <v>260</v>
      </c>
      <c r="I39" s="1"/>
    </row>
    <row r="40" spans="1:9" ht="12.75">
      <c r="A40" s="30"/>
      <c r="B40" s="31"/>
      <c r="C40" s="71"/>
      <c r="D40" s="71"/>
      <c r="E40" s="71"/>
      <c r="F40" s="71"/>
      <c r="G40" s="71"/>
      <c r="H40" s="29"/>
      <c r="I40" s="1"/>
    </row>
    <row r="41" spans="1:9" ht="15">
      <c r="A41" s="38" t="s">
        <v>164</v>
      </c>
      <c r="B41" s="31"/>
      <c r="C41" s="71"/>
      <c r="D41" s="71"/>
      <c r="E41" s="71"/>
      <c r="F41" s="71"/>
      <c r="G41" s="71"/>
      <c r="H41" s="29"/>
      <c r="I41" s="1"/>
    </row>
    <row r="42" spans="1:9" ht="12.75">
      <c r="A42" s="20"/>
      <c r="B42" s="46"/>
      <c r="C42" s="49"/>
      <c r="D42" s="47"/>
      <c r="E42" s="47"/>
      <c r="F42" s="47"/>
      <c r="G42" s="53"/>
      <c r="H42" s="19" t="s">
        <v>31</v>
      </c>
      <c r="I42" s="1"/>
    </row>
    <row r="43" spans="1:9" ht="12.75">
      <c r="A43" s="20" t="s">
        <v>165</v>
      </c>
      <c r="B43" s="21"/>
      <c r="C43" s="50"/>
      <c r="G43" s="54"/>
      <c r="H43" s="40">
        <v>2005</v>
      </c>
      <c r="I43" s="1"/>
    </row>
    <row r="44" spans="1:9" ht="12.75">
      <c r="A44" s="10"/>
      <c r="B44" s="23" t="s">
        <v>34</v>
      </c>
      <c r="C44" s="50"/>
      <c r="D44" s="34">
        <v>2</v>
      </c>
      <c r="E44" s="34"/>
      <c r="F44" s="34"/>
      <c r="G44" s="55">
        <f aca="true" t="shared" si="1" ref="G44:G52">SUM(C44:F44)</f>
        <v>2</v>
      </c>
      <c r="H44" s="24"/>
      <c r="I44" s="1"/>
    </row>
    <row r="45" spans="1:9" ht="12.75">
      <c r="A45" s="20"/>
      <c r="B45" s="23" t="s">
        <v>37</v>
      </c>
      <c r="C45" s="51">
        <v>424</v>
      </c>
      <c r="D45" s="41"/>
      <c r="E45" s="41"/>
      <c r="F45" s="41"/>
      <c r="G45" s="55">
        <f t="shared" si="1"/>
        <v>424</v>
      </c>
      <c r="H45" s="24"/>
      <c r="I45" s="1"/>
    </row>
    <row r="46" spans="1:9" ht="13.5" customHeight="1">
      <c r="A46" s="20"/>
      <c r="B46" s="23" t="s">
        <v>120</v>
      </c>
      <c r="C46" s="51"/>
      <c r="D46" s="41">
        <v>7</v>
      </c>
      <c r="E46" s="41"/>
      <c r="F46" s="41"/>
      <c r="G46" s="55">
        <f t="shared" si="1"/>
        <v>7</v>
      </c>
      <c r="H46" s="24"/>
      <c r="I46" s="1"/>
    </row>
    <row r="47" spans="1:9" ht="13.5" customHeight="1">
      <c r="A47" s="20"/>
      <c r="B47" s="23" t="s">
        <v>166</v>
      </c>
      <c r="C47" s="51"/>
      <c r="D47" s="41">
        <v>10</v>
      </c>
      <c r="E47" s="41"/>
      <c r="F47" s="41"/>
      <c r="G47" s="55">
        <f t="shared" si="1"/>
        <v>10</v>
      </c>
      <c r="H47" s="24"/>
      <c r="I47" s="1"/>
    </row>
    <row r="48" spans="1:9" ht="13.5" customHeight="1">
      <c r="A48" s="20"/>
      <c r="B48" s="23" t="s">
        <v>167</v>
      </c>
      <c r="C48" s="51"/>
      <c r="D48" s="41">
        <v>5</v>
      </c>
      <c r="E48" s="41"/>
      <c r="F48" s="41"/>
      <c r="G48" s="55">
        <f t="shared" si="1"/>
        <v>5</v>
      </c>
      <c r="H48" s="24"/>
      <c r="I48" s="1"/>
    </row>
    <row r="49" spans="1:9" ht="13.5" customHeight="1">
      <c r="A49" s="20"/>
      <c r="B49" s="23" t="s">
        <v>168</v>
      </c>
      <c r="C49" s="51"/>
      <c r="D49" s="41">
        <v>2</v>
      </c>
      <c r="E49" s="41"/>
      <c r="F49" s="41"/>
      <c r="G49" s="55">
        <f t="shared" si="1"/>
        <v>2</v>
      </c>
      <c r="H49" s="24"/>
      <c r="I49" s="1"/>
    </row>
    <row r="50" spans="1:9" ht="13.5" customHeight="1">
      <c r="A50" s="20"/>
      <c r="B50" s="23" t="s">
        <v>169</v>
      </c>
      <c r="C50" s="51"/>
      <c r="D50" s="41">
        <v>2</v>
      </c>
      <c r="E50" s="41"/>
      <c r="F50" s="41"/>
      <c r="G50" s="55">
        <f t="shared" si="1"/>
        <v>2</v>
      </c>
      <c r="H50" s="24"/>
      <c r="I50" s="1"/>
    </row>
    <row r="51" spans="1:9" ht="13.5" customHeight="1">
      <c r="A51" s="20"/>
      <c r="B51" s="23" t="s">
        <v>170</v>
      </c>
      <c r="C51" s="51"/>
      <c r="D51" s="41">
        <v>10</v>
      </c>
      <c r="E51" s="41"/>
      <c r="F51" s="41"/>
      <c r="G51" s="55">
        <f t="shared" si="1"/>
        <v>10</v>
      </c>
      <c r="H51" s="24"/>
      <c r="I51" s="1"/>
    </row>
    <row r="52" spans="1:9" ht="13.5" customHeight="1">
      <c r="A52" s="20"/>
      <c r="B52" s="23" t="s">
        <v>171</v>
      </c>
      <c r="C52" s="51"/>
      <c r="D52" s="41">
        <v>15</v>
      </c>
      <c r="E52" s="41"/>
      <c r="F52" s="41"/>
      <c r="G52" s="55">
        <f t="shared" si="1"/>
        <v>15</v>
      </c>
      <c r="H52" s="24"/>
      <c r="I52" s="1"/>
    </row>
    <row r="53" spans="1:9" ht="12.75">
      <c r="A53" s="25"/>
      <c r="B53" s="26" t="s">
        <v>35</v>
      </c>
      <c r="C53" s="52">
        <f>SUM(C44:C52)</f>
        <v>424</v>
      </c>
      <c r="D53" s="35">
        <f>SUM(D44:D52)</f>
        <v>53</v>
      </c>
      <c r="E53" s="35"/>
      <c r="F53" s="35"/>
      <c r="G53" s="56">
        <f>G44+G45+G46+G47+G48+G49+G50+G51+G52</f>
        <v>477</v>
      </c>
      <c r="H53" s="27">
        <v>422</v>
      </c>
      <c r="I53" s="1"/>
    </row>
    <row r="54" spans="1:9" ht="12.75">
      <c r="A54" s="70"/>
      <c r="B54" s="31"/>
      <c r="C54" s="28"/>
      <c r="D54" s="28"/>
      <c r="E54" s="28"/>
      <c r="F54" s="28"/>
      <c r="G54" s="41"/>
      <c r="H54" s="32"/>
      <c r="I54" s="1"/>
    </row>
    <row r="55" spans="1:9" ht="12.75">
      <c r="A55" s="20"/>
      <c r="B55" s="46"/>
      <c r="C55" s="49"/>
      <c r="D55" s="47"/>
      <c r="E55" s="47"/>
      <c r="F55" s="47"/>
      <c r="G55" s="53"/>
      <c r="H55" s="19" t="s">
        <v>31</v>
      </c>
      <c r="I55" s="1"/>
    </row>
    <row r="56" spans="1:10" ht="12.75">
      <c r="A56" s="20" t="s">
        <v>22</v>
      </c>
      <c r="B56" s="21"/>
      <c r="C56" s="50"/>
      <c r="G56" s="54"/>
      <c r="H56" s="40">
        <v>2005</v>
      </c>
      <c r="I56" s="1"/>
      <c r="J56" s="11"/>
    </row>
    <row r="57" spans="1:10" ht="12.75">
      <c r="A57" s="10"/>
      <c r="B57" s="23" t="s">
        <v>34</v>
      </c>
      <c r="C57" s="50"/>
      <c r="D57" s="34">
        <v>5</v>
      </c>
      <c r="E57" s="34"/>
      <c r="F57" s="34"/>
      <c r="G57" s="55">
        <f aca="true" t="shared" si="2" ref="G57:G62">SUM(C57:F57)</f>
        <v>5</v>
      </c>
      <c r="H57" s="24"/>
      <c r="I57" s="1"/>
      <c r="J57" s="11"/>
    </row>
    <row r="58" spans="1:10" ht="12.75">
      <c r="A58" s="22"/>
      <c r="B58" s="23" t="s">
        <v>7</v>
      </c>
      <c r="C58" s="51"/>
      <c r="D58" s="41">
        <v>120</v>
      </c>
      <c r="E58" s="41"/>
      <c r="F58" s="41"/>
      <c r="G58" s="55">
        <f t="shared" si="2"/>
        <v>120</v>
      </c>
      <c r="H58" s="24"/>
      <c r="I58" s="1"/>
      <c r="J58" s="11"/>
    </row>
    <row r="59" spans="1:10" ht="12.75">
      <c r="A59" s="20"/>
      <c r="B59" s="23" t="s">
        <v>8</v>
      </c>
      <c r="C59" s="51"/>
      <c r="D59" s="41">
        <v>20</v>
      </c>
      <c r="E59" s="41"/>
      <c r="F59" s="41"/>
      <c r="G59" s="55">
        <f t="shared" si="2"/>
        <v>20</v>
      </c>
      <c r="H59" s="24"/>
      <c r="I59" s="1"/>
      <c r="J59" s="11"/>
    </row>
    <row r="60" spans="1:10" ht="12.75">
      <c r="A60" s="20"/>
      <c r="B60" s="23" t="s">
        <v>102</v>
      </c>
      <c r="C60" s="51"/>
      <c r="D60" s="41">
        <v>30</v>
      </c>
      <c r="E60" s="41"/>
      <c r="F60" s="41"/>
      <c r="G60" s="55">
        <f t="shared" si="2"/>
        <v>30</v>
      </c>
      <c r="H60" s="24"/>
      <c r="I60" s="1"/>
      <c r="J60" s="11"/>
    </row>
    <row r="61" spans="1:9" ht="12.75">
      <c r="A61" s="20"/>
      <c r="B61" s="23" t="s">
        <v>9</v>
      </c>
      <c r="C61" s="51"/>
      <c r="D61" s="41">
        <v>3</v>
      </c>
      <c r="E61" s="41"/>
      <c r="F61" s="41"/>
      <c r="G61" s="55">
        <f t="shared" si="2"/>
        <v>3</v>
      </c>
      <c r="H61" s="24"/>
      <c r="I61" s="1"/>
    </row>
    <row r="62" spans="1:9" ht="12.75">
      <c r="A62" s="20"/>
      <c r="B62" s="23" t="s">
        <v>365</v>
      </c>
      <c r="C62" s="51"/>
      <c r="D62" s="41">
        <v>20</v>
      </c>
      <c r="E62" s="41"/>
      <c r="F62" s="41"/>
      <c r="G62" s="51">
        <f t="shared" si="2"/>
        <v>20</v>
      </c>
      <c r="H62" s="24"/>
      <c r="I62" s="1"/>
    </row>
    <row r="63" spans="1:9" ht="12.75">
      <c r="A63" s="25"/>
      <c r="B63" s="26" t="s">
        <v>35</v>
      </c>
      <c r="C63" s="52"/>
      <c r="D63" s="35">
        <f>SUM(D57:D62)</f>
        <v>198</v>
      </c>
      <c r="E63" s="35"/>
      <c r="F63" s="35"/>
      <c r="G63" s="52">
        <f>SUM(G57:G62)</f>
        <v>198</v>
      </c>
      <c r="H63" s="27">
        <v>187</v>
      </c>
      <c r="I63" s="1"/>
    </row>
    <row r="64" spans="1:9" ht="12.75">
      <c r="A64" s="70"/>
      <c r="B64" s="31"/>
      <c r="C64" s="28"/>
      <c r="D64" s="28"/>
      <c r="E64" s="28"/>
      <c r="F64" s="28"/>
      <c r="G64" s="41"/>
      <c r="H64" s="32"/>
      <c r="I64" s="1"/>
    </row>
    <row r="65" spans="1:10" ht="12.75">
      <c r="A65" s="20"/>
      <c r="B65" s="46"/>
      <c r="C65" s="49"/>
      <c r="D65" s="47"/>
      <c r="E65" s="47"/>
      <c r="F65" s="47"/>
      <c r="G65" s="53"/>
      <c r="H65" s="19" t="s">
        <v>31</v>
      </c>
      <c r="I65" s="1"/>
      <c r="J65" s="9"/>
    </row>
    <row r="66" spans="1:10" ht="12.75">
      <c r="A66" s="20" t="s">
        <v>10</v>
      </c>
      <c r="B66" s="21"/>
      <c r="C66" s="50"/>
      <c r="G66" s="54"/>
      <c r="H66" s="40">
        <v>2005</v>
      </c>
      <c r="I66" s="1"/>
      <c r="J66" s="11"/>
    </row>
    <row r="67" spans="1:10" ht="12.75">
      <c r="A67" s="10"/>
      <c r="B67" s="23" t="s">
        <v>34</v>
      </c>
      <c r="C67" s="50"/>
      <c r="D67" s="34"/>
      <c r="E67" s="34"/>
      <c r="F67" s="34"/>
      <c r="G67" s="55">
        <f>SUM(C67:F67)</f>
        <v>0</v>
      </c>
      <c r="H67" s="24"/>
      <c r="I67" s="1"/>
      <c r="J67" s="11"/>
    </row>
    <row r="68" spans="1:10" ht="12.75">
      <c r="A68" s="10"/>
      <c r="B68" s="23" t="s">
        <v>172</v>
      </c>
      <c r="C68" s="50"/>
      <c r="D68" s="34">
        <v>5</v>
      </c>
      <c r="E68" s="34"/>
      <c r="F68" s="34"/>
      <c r="G68" s="55">
        <f>SUM(C68:F68)</f>
        <v>5</v>
      </c>
      <c r="H68" s="24"/>
      <c r="I68" s="1"/>
      <c r="J68" s="11"/>
    </row>
    <row r="69" spans="1:10" ht="12.75">
      <c r="A69" s="22"/>
      <c r="B69" s="23" t="s">
        <v>173</v>
      </c>
      <c r="C69" s="51">
        <v>4</v>
      </c>
      <c r="D69" s="41"/>
      <c r="E69" s="41"/>
      <c r="F69" s="41"/>
      <c r="G69" s="55">
        <f>SUM(C69:F69)</f>
        <v>4</v>
      </c>
      <c r="H69" s="24"/>
      <c r="I69" s="1"/>
      <c r="J69" s="11"/>
    </row>
    <row r="70" spans="1:10" ht="12.75">
      <c r="A70" s="22"/>
      <c r="B70" s="23" t="s">
        <v>174</v>
      </c>
      <c r="C70" s="51"/>
      <c r="D70" s="41">
        <v>7</v>
      </c>
      <c r="E70" s="41"/>
      <c r="F70" s="41"/>
      <c r="G70" s="55">
        <f>SUM(C70:F70)</f>
        <v>7</v>
      </c>
      <c r="H70" s="24"/>
      <c r="I70" s="1"/>
      <c r="J70" s="11"/>
    </row>
    <row r="71" spans="1:10" ht="12.75">
      <c r="A71" s="25"/>
      <c r="B71" s="26" t="s">
        <v>35</v>
      </c>
      <c r="C71" s="52">
        <f>SUM(C67:C70)</f>
        <v>4</v>
      </c>
      <c r="D71" s="35">
        <f>SUM(D67:D70)</f>
        <v>12</v>
      </c>
      <c r="E71" s="35">
        <f>SUM(E67:E70)</f>
        <v>0</v>
      </c>
      <c r="F71" s="35">
        <f>SUM(F67:F70)</f>
        <v>0</v>
      </c>
      <c r="G71" s="52">
        <f>SUM(G67:G70)</f>
        <v>16</v>
      </c>
      <c r="H71" s="27">
        <v>26</v>
      </c>
      <c r="I71" s="1"/>
      <c r="J71" s="11"/>
    </row>
    <row r="72" spans="1:9" ht="12.75">
      <c r="A72" s="70"/>
      <c r="B72" s="31"/>
      <c r="C72" s="28"/>
      <c r="D72" s="28"/>
      <c r="E72" s="28"/>
      <c r="F72" s="28"/>
      <c r="G72" s="41"/>
      <c r="H72" s="32"/>
      <c r="I72" s="1"/>
    </row>
    <row r="73" spans="1:9" ht="12.75">
      <c r="A73" s="20"/>
      <c r="B73" s="46"/>
      <c r="C73" s="49"/>
      <c r="D73" s="47"/>
      <c r="E73" s="47"/>
      <c r="F73" s="47"/>
      <c r="G73" s="53"/>
      <c r="H73" s="19" t="s">
        <v>31</v>
      </c>
      <c r="I73" s="1"/>
    </row>
    <row r="74" spans="1:9" ht="12.75">
      <c r="A74" s="20" t="s">
        <v>176</v>
      </c>
      <c r="B74" s="21"/>
      <c r="C74" s="50"/>
      <c r="G74" s="54"/>
      <c r="H74" s="40">
        <v>2005</v>
      </c>
      <c r="I74" s="1"/>
    </row>
    <row r="75" spans="1:9" ht="12.75">
      <c r="A75" s="10"/>
      <c r="B75" s="8" t="s">
        <v>34</v>
      </c>
      <c r="C75" s="50">
        <v>2</v>
      </c>
      <c r="D75" s="34"/>
      <c r="E75" s="34"/>
      <c r="F75" s="34"/>
      <c r="G75" s="55">
        <f>SUM(C75:F75)</f>
        <v>2</v>
      </c>
      <c r="H75" s="24"/>
      <c r="I75" s="1"/>
    </row>
    <row r="76" spans="1:9" ht="12.75">
      <c r="A76" s="20"/>
      <c r="B76" s="11" t="s">
        <v>175</v>
      </c>
      <c r="C76" s="51">
        <f>1545</f>
        <v>1545</v>
      </c>
      <c r="D76" s="41">
        <v>100</v>
      </c>
      <c r="E76" s="41"/>
      <c r="F76" s="41"/>
      <c r="G76" s="55">
        <f>SUM(C76:F76)</f>
        <v>1645</v>
      </c>
      <c r="H76" s="24"/>
      <c r="I76" s="1" t="s">
        <v>377</v>
      </c>
    </row>
    <row r="77" spans="1:9" ht="12.75">
      <c r="A77" s="25"/>
      <c r="B77" s="26" t="s">
        <v>35</v>
      </c>
      <c r="C77" s="52">
        <f>SUM(C75:C76)</f>
        <v>1547</v>
      </c>
      <c r="D77" s="35">
        <f>SUM(D73:D76)</f>
        <v>100</v>
      </c>
      <c r="E77" s="35">
        <f>SUM(E73:E76)</f>
        <v>0</v>
      </c>
      <c r="F77" s="35">
        <f>SUM(F73:F76)</f>
        <v>0</v>
      </c>
      <c r="G77" s="56">
        <f>G75+G76</f>
        <v>1647</v>
      </c>
      <c r="H77" s="27">
        <v>1467</v>
      </c>
      <c r="I77" s="1"/>
    </row>
    <row r="78" spans="1:9" ht="12.75">
      <c r="A78" s="70"/>
      <c r="B78" s="31"/>
      <c r="C78" s="28"/>
      <c r="D78" s="28"/>
      <c r="E78" s="28"/>
      <c r="F78" s="28"/>
      <c r="G78" s="41"/>
      <c r="H78" s="32"/>
      <c r="I78" s="1"/>
    </row>
    <row r="79" spans="1:9" ht="12">
      <c r="A79" s="20"/>
      <c r="B79" s="46"/>
      <c r="C79" s="49"/>
      <c r="D79" s="47"/>
      <c r="E79" s="47"/>
      <c r="F79" s="47"/>
      <c r="G79" s="53"/>
      <c r="H79" s="19" t="s">
        <v>31</v>
      </c>
      <c r="I79" s="1"/>
    </row>
    <row r="80" spans="1:9" ht="12">
      <c r="A80" s="20" t="s">
        <v>178</v>
      </c>
      <c r="B80" s="21"/>
      <c r="C80" s="50"/>
      <c r="G80" s="54"/>
      <c r="H80" s="40">
        <v>2005</v>
      </c>
      <c r="I80" s="1"/>
    </row>
    <row r="81" spans="1:9" ht="12">
      <c r="A81" s="10"/>
      <c r="B81" s="23" t="s">
        <v>179</v>
      </c>
      <c r="C81" s="50"/>
      <c r="D81" s="34">
        <v>25</v>
      </c>
      <c r="E81" s="34"/>
      <c r="F81" s="34"/>
      <c r="G81" s="55">
        <f>SUM(C81:F81)</f>
        <v>25</v>
      </c>
      <c r="H81" s="24"/>
      <c r="I81" s="1"/>
    </row>
    <row r="82" spans="1:9" ht="12">
      <c r="A82" s="22"/>
      <c r="B82" s="23" t="s">
        <v>180</v>
      </c>
      <c r="C82" s="51"/>
      <c r="D82" s="41">
        <v>175</v>
      </c>
      <c r="E82" s="41"/>
      <c r="F82" s="41"/>
      <c r="G82" s="55">
        <f>SUM(C82:F82)</f>
        <v>175</v>
      </c>
      <c r="H82" s="24"/>
      <c r="I82" s="1"/>
    </row>
    <row r="83" spans="1:9" ht="12">
      <c r="A83" s="25"/>
      <c r="B83" s="26" t="s">
        <v>35</v>
      </c>
      <c r="C83" s="52">
        <f>SUM(C81:C82)</f>
        <v>0</v>
      </c>
      <c r="D83" s="35">
        <f>SUM(D81:D82)</f>
        <v>200</v>
      </c>
      <c r="E83" s="35">
        <f>SUM(E81:E82)</f>
        <v>0</v>
      </c>
      <c r="F83" s="35">
        <f>SUM(F81:F82)</f>
        <v>0</v>
      </c>
      <c r="G83" s="52">
        <f>SUM(G81:G82)</f>
        <v>200</v>
      </c>
      <c r="H83" s="27">
        <v>225</v>
      </c>
      <c r="I83" s="1"/>
    </row>
    <row r="84" spans="1:9" ht="12">
      <c r="A84" s="70"/>
      <c r="B84" s="31"/>
      <c r="C84" s="28"/>
      <c r="D84" s="28"/>
      <c r="E84" s="28"/>
      <c r="F84" s="28"/>
      <c r="G84" s="41"/>
      <c r="H84" s="32"/>
      <c r="I84" s="1"/>
    </row>
    <row r="85" spans="1:9" ht="15.75" customHeight="1">
      <c r="A85" s="20"/>
      <c r="B85" s="46"/>
      <c r="C85" s="49"/>
      <c r="D85" s="47"/>
      <c r="E85" s="47"/>
      <c r="F85" s="47"/>
      <c r="G85" s="53"/>
      <c r="H85" s="19" t="s">
        <v>31</v>
      </c>
      <c r="I85" s="1"/>
    </row>
    <row r="86" spans="1:9" ht="12">
      <c r="A86" s="20" t="s">
        <v>181</v>
      </c>
      <c r="B86" s="21"/>
      <c r="C86" s="50"/>
      <c r="G86" s="54"/>
      <c r="H86" s="40">
        <v>2005</v>
      </c>
      <c r="I86" s="1"/>
    </row>
    <row r="87" spans="1:9" ht="12">
      <c r="A87" s="10"/>
      <c r="B87" s="23" t="s">
        <v>34</v>
      </c>
      <c r="C87" s="50"/>
      <c r="D87" s="34"/>
      <c r="E87" s="34"/>
      <c r="F87" s="34"/>
      <c r="G87" s="55">
        <f aca="true" t="shared" si="3" ref="G87:G94">SUM(C87:F87)</f>
        <v>0</v>
      </c>
      <c r="H87" s="24"/>
      <c r="I87" s="1"/>
    </row>
    <row r="88" spans="1:9" ht="12">
      <c r="A88" s="20"/>
      <c r="B88" s="23" t="s">
        <v>153</v>
      </c>
      <c r="C88" s="51">
        <v>115</v>
      </c>
      <c r="D88" s="41"/>
      <c r="E88" s="41"/>
      <c r="F88" s="41"/>
      <c r="G88" s="55">
        <f t="shared" si="3"/>
        <v>115</v>
      </c>
      <c r="H88" s="24"/>
      <c r="I88" s="1"/>
    </row>
    <row r="89" spans="1:9" ht="12">
      <c r="A89" s="20"/>
      <c r="B89" s="23" t="s">
        <v>182</v>
      </c>
      <c r="C89" s="51">
        <v>155</v>
      </c>
      <c r="D89" s="41"/>
      <c r="E89" s="41"/>
      <c r="F89" s="41"/>
      <c r="G89" s="55">
        <f t="shared" si="3"/>
        <v>155</v>
      </c>
      <c r="H89" s="24"/>
      <c r="I89" s="1"/>
    </row>
    <row r="90" spans="1:9" ht="12">
      <c r="A90" s="20"/>
      <c r="B90" s="23" t="s">
        <v>183</v>
      </c>
      <c r="C90" s="51">
        <v>40</v>
      </c>
      <c r="D90" s="41"/>
      <c r="E90" s="41"/>
      <c r="F90" s="41"/>
      <c r="G90" s="55">
        <f t="shared" si="3"/>
        <v>40</v>
      </c>
      <c r="H90" s="24"/>
      <c r="I90" s="1"/>
    </row>
    <row r="91" spans="1:9" ht="12">
      <c r="A91" s="20"/>
      <c r="B91" s="23" t="s">
        <v>184</v>
      </c>
      <c r="C91" s="51">
        <v>20</v>
      </c>
      <c r="D91" s="41"/>
      <c r="E91" s="41"/>
      <c r="F91" s="41"/>
      <c r="G91" s="55">
        <f t="shared" si="3"/>
        <v>20</v>
      </c>
      <c r="H91" s="24"/>
      <c r="I91" s="1"/>
    </row>
    <row r="92" spans="1:9" ht="12">
      <c r="A92" s="20"/>
      <c r="B92" s="23" t="s">
        <v>154</v>
      </c>
      <c r="C92" s="51">
        <v>200</v>
      </c>
      <c r="D92" s="41"/>
      <c r="E92" s="41"/>
      <c r="F92" s="41"/>
      <c r="G92" s="55">
        <f t="shared" si="3"/>
        <v>200</v>
      </c>
      <c r="H92" s="24"/>
      <c r="I92" s="1"/>
    </row>
    <row r="93" spans="1:9" ht="12">
      <c r="A93" s="20"/>
      <c r="B93" s="23" t="s">
        <v>185</v>
      </c>
      <c r="C93" s="51">
        <v>20</v>
      </c>
      <c r="D93" s="41"/>
      <c r="E93" s="41"/>
      <c r="F93" s="41"/>
      <c r="G93" s="55">
        <f t="shared" si="3"/>
        <v>20</v>
      </c>
      <c r="H93" s="24"/>
      <c r="I93" s="1"/>
    </row>
    <row r="94" spans="1:9" ht="12">
      <c r="A94" s="20"/>
      <c r="B94" s="23" t="s">
        <v>118</v>
      </c>
      <c r="C94" s="51">
        <v>50</v>
      </c>
      <c r="D94" s="41"/>
      <c r="E94" s="41"/>
      <c r="F94" s="41"/>
      <c r="G94" s="55">
        <f t="shared" si="3"/>
        <v>50</v>
      </c>
      <c r="H94" s="24"/>
      <c r="I94" s="1"/>
    </row>
    <row r="95" spans="1:9" ht="12">
      <c r="A95" s="25"/>
      <c r="B95" s="26" t="s">
        <v>35</v>
      </c>
      <c r="C95" s="52">
        <f>SUM(C87:C94)</f>
        <v>600</v>
      </c>
      <c r="D95" s="35">
        <f>SUM(D92:D94)</f>
        <v>0</v>
      </c>
      <c r="E95" s="35">
        <f>SUM(E92:E94)</f>
        <v>0</v>
      </c>
      <c r="F95" s="35">
        <f>SUM(F92:F94)</f>
        <v>0</v>
      </c>
      <c r="G95" s="56">
        <f>SUM(G87:G94)</f>
        <v>600</v>
      </c>
      <c r="H95" s="27">
        <v>860</v>
      </c>
      <c r="I95" s="1"/>
    </row>
    <row r="96" spans="1:9" ht="12">
      <c r="A96" s="30"/>
      <c r="B96" s="31"/>
      <c r="C96" s="28"/>
      <c r="D96" s="28"/>
      <c r="E96" s="28"/>
      <c r="F96" s="28"/>
      <c r="G96" s="41"/>
      <c r="H96" s="32"/>
      <c r="I96" s="1"/>
    </row>
    <row r="97" spans="1:9" ht="15.75">
      <c r="A97" s="38" t="s">
        <v>186</v>
      </c>
      <c r="B97" s="31"/>
      <c r="C97" s="28"/>
      <c r="D97" s="28"/>
      <c r="E97" s="28"/>
      <c r="F97" s="28"/>
      <c r="G97" s="41"/>
      <c r="H97" s="32"/>
      <c r="I97" s="1"/>
    </row>
    <row r="98" spans="1:9" ht="12">
      <c r="A98" s="20"/>
      <c r="B98" s="46"/>
      <c r="C98" s="49"/>
      <c r="D98" s="47"/>
      <c r="E98" s="47"/>
      <c r="F98" s="47"/>
      <c r="G98" s="53"/>
      <c r="H98" s="19" t="s">
        <v>31</v>
      </c>
      <c r="I98" s="1"/>
    </row>
    <row r="99" spans="1:9" ht="12">
      <c r="A99" s="20" t="s">
        <v>45</v>
      </c>
      <c r="B99" s="21"/>
      <c r="C99" s="50"/>
      <c r="G99" s="54"/>
      <c r="H99" s="40">
        <v>2005</v>
      </c>
      <c r="I99" s="1"/>
    </row>
    <row r="100" spans="1:9" ht="12">
      <c r="A100" s="10"/>
      <c r="B100" s="23" t="s">
        <v>49</v>
      </c>
      <c r="C100" s="50"/>
      <c r="D100" s="34">
        <v>20</v>
      </c>
      <c r="E100" s="34"/>
      <c r="F100" s="34"/>
      <c r="G100" s="55">
        <f>SUM(C100:F100)</f>
        <v>20</v>
      </c>
      <c r="H100" s="24"/>
      <c r="I100" s="1"/>
    </row>
    <row r="101" spans="1:9" ht="12">
      <c r="A101" s="10"/>
      <c r="B101" s="23" t="s">
        <v>128</v>
      </c>
      <c r="C101" s="50"/>
      <c r="D101" s="34">
        <v>20</v>
      </c>
      <c r="E101" s="34"/>
      <c r="F101" s="34"/>
      <c r="G101" s="55">
        <f>SUM(C101:F101)</f>
        <v>20</v>
      </c>
      <c r="H101" s="24"/>
      <c r="I101" s="1"/>
    </row>
    <row r="102" spans="1:9" ht="12">
      <c r="A102" s="22"/>
      <c r="B102" s="23" t="s">
        <v>46</v>
      </c>
      <c r="C102" s="51"/>
      <c r="D102" s="41">
        <v>25</v>
      </c>
      <c r="E102" s="41"/>
      <c r="F102" s="41"/>
      <c r="G102" s="55">
        <f>SUM(C102:F102)</f>
        <v>25</v>
      </c>
      <c r="H102" s="24"/>
      <c r="I102" s="1"/>
    </row>
    <row r="103" spans="1:9" ht="12">
      <c r="A103" s="22"/>
      <c r="B103" s="23" t="s">
        <v>187</v>
      </c>
      <c r="C103" s="51"/>
      <c r="D103" s="41">
        <v>20</v>
      </c>
      <c r="E103" s="41"/>
      <c r="F103" s="41"/>
      <c r="G103" s="55">
        <f>SUM(C103:F103)</f>
        <v>20</v>
      </c>
      <c r="H103" s="24"/>
      <c r="I103" s="1"/>
    </row>
    <row r="104" spans="1:9" ht="12">
      <c r="A104" s="25"/>
      <c r="B104" s="26" t="s">
        <v>35</v>
      </c>
      <c r="C104" s="52">
        <f>SUM(C100:C103)</f>
        <v>0</v>
      </c>
      <c r="D104" s="35">
        <f>SUM(D100:D103)</f>
        <v>85</v>
      </c>
      <c r="E104" s="35">
        <f>SUM(E100:E103)</f>
        <v>0</v>
      </c>
      <c r="F104" s="35">
        <f>SUM(F100:F103)</f>
        <v>0</v>
      </c>
      <c r="G104" s="52">
        <f>SUM(G100:G103)</f>
        <v>85</v>
      </c>
      <c r="H104" s="27">
        <v>65</v>
      </c>
      <c r="I104" s="1"/>
    </row>
    <row r="105" spans="1:9" ht="12">
      <c r="A105" s="70"/>
      <c r="B105" s="31"/>
      <c r="C105" s="28"/>
      <c r="D105" s="28"/>
      <c r="E105" s="28"/>
      <c r="F105" s="28"/>
      <c r="G105" s="41"/>
      <c r="H105" s="32"/>
      <c r="I105" s="1"/>
    </row>
    <row r="106" spans="1:9" ht="12">
      <c r="A106" s="20"/>
      <c r="B106" s="46"/>
      <c r="C106" s="49"/>
      <c r="D106" s="47"/>
      <c r="E106" s="47"/>
      <c r="F106" s="47"/>
      <c r="G106" s="53"/>
      <c r="H106" s="19" t="s">
        <v>31</v>
      </c>
      <c r="I106" s="1"/>
    </row>
    <row r="107" spans="1:9" ht="12" customHeight="1">
      <c r="A107" s="20" t="s">
        <v>41</v>
      </c>
      <c r="B107" s="21"/>
      <c r="C107" s="50"/>
      <c r="G107" s="54"/>
      <c r="H107" s="40">
        <v>2005</v>
      </c>
      <c r="I107" s="1"/>
    </row>
    <row r="108" spans="1:9" ht="12" customHeight="1">
      <c r="A108" s="20"/>
      <c r="B108" s="21" t="s">
        <v>34</v>
      </c>
      <c r="C108" s="50"/>
      <c r="G108" s="54"/>
      <c r="H108" s="40"/>
      <c r="I108" s="1"/>
    </row>
    <row r="109" spans="1:9" ht="12">
      <c r="A109" s="10"/>
      <c r="B109" s="23" t="s">
        <v>16</v>
      </c>
      <c r="C109" s="50"/>
      <c r="D109" s="34">
        <v>4</v>
      </c>
      <c r="E109" s="34"/>
      <c r="F109" s="34"/>
      <c r="G109" s="55">
        <f>SUM(C109:F109)</f>
        <v>4</v>
      </c>
      <c r="H109" s="24"/>
      <c r="I109" s="1"/>
    </row>
    <row r="110" spans="1:9" ht="12">
      <c r="A110" s="22"/>
      <c r="B110" s="23" t="s">
        <v>4</v>
      </c>
      <c r="C110" s="51"/>
      <c r="D110" s="41">
        <v>10</v>
      </c>
      <c r="E110" s="41"/>
      <c r="F110" s="41"/>
      <c r="G110" s="55">
        <v>10</v>
      </c>
      <c r="H110" s="24"/>
      <c r="I110" s="1"/>
    </row>
    <row r="111" spans="1:9" ht="12">
      <c r="A111" s="25"/>
      <c r="B111" s="26" t="s">
        <v>35</v>
      </c>
      <c r="C111" s="52">
        <f>SUM(C109:C110)</f>
        <v>0</v>
      </c>
      <c r="D111" s="35">
        <f>SUM(D109:D110)</f>
        <v>14</v>
      </c>
      <c r="E111" s="35">
        <f>SUM(E109:E110)</f>
        <v>0</v>
      </c>
      <c r="F111" s="35">
        <f>SUM(F109:F110)</f>
        <v>0</v>
      </c>
      <c r="G111" s="52">
        <f>SUM(G109:G110)</f>
        <v>14</v>
      </c>
      <c r="H111" s="27">
        <v>14</v>
      </c>
      <c r="I111" s="1"/>
    </row>
    <row r="112" spans="1:9" ht="12">
      <c r="A112" s="70"/>
      <c r="B112" s="31"/>
      <c r="C112" s="28"/>
      <c r="D112" s="28"/>
      <c r="E112" s="28"/>
      <c r="F112" s="28"/>
      <c r="G112" s="41"/>
      <c r="H112" s="32"/>
      <c r="I112" s="1"/>
    </row>
    <row r="113" spans="1:9" ht="12">
      <c r="A113" s="20"/>
      <c r="B113" s="46"/>
      <c r="C113" s="49"/>
      <c r="D113" s="47"/>
      <c r="E113" s="47"/>
      <c r="F113" s="47"/>
      <c r="G113" s="53"/>
      <c r="H113" s="19" t="s">
        <v>31</v>
      </c>
      <c r="I113" s="1"/>
    </row>
    <row r="114" spans="1:9" ht="12">
      <c r="A114" s="20" t="s">
        <v>42</v>
      </c>
      <c r="B114" s="21"/>
      <c r="C114" s="50"/>
      <c r="G114" s="54"/>
      <c r="H114" s="40">
        <v>2005</v>
      </c>
      <c r="I114" s="1"/>
    </row>
    <row r="115" spans="1:9" ht="12">
      <c r="A115" s="10"/>
      <c r="B115" s="23" t="s">
        <v>34</v>
      </c>
      <c r="C115" s="50"/>
      <c r="D115" s="34"/>
      <c r="E115" s="34"/>
      <c r="F115" s="34"/>
      <c r="G115" s="55">
        <f aca="true" t="shared" si="4" ref="G115:G129">SUM(C115:F115)</f>
        <v>0</v>
      </c>
      <c r="H115" s="24"/>
      <c r="I115" s="1"/>
    </row>
    <row r="116" spans="1:9" ht="12">
      <c r="A116" s="10"/>
      <c r="B116" s="23" t="s">
        <v>308</v>
      </c>
      <c r="C116" s="50"/>
      <c r="D116" s="34">
        <v>30</v>
      </c>
      <c r="E116" s="34"/>
      <c r="F116" s="34"/>
      <c r="G116" s="55">
        <f t="shared" si="4"/>
        <v>30</v>
      </c>
      <c r="H116" s="24"/>
      <c r="I116" s="1" t="s">
        <v>377</v>
      </c>
    </row>
    <row r="117" spans="1:9" ht="12">
      <c r="A117" s="10"/>
      <c r="B117" s="23" t="s">
        <v>94</v>
      </c>
      <c r="C117" s="50"/>
      <c r="D117" s="34">
        <v>3</v>
      </c>
      <c r="E117" s="34"/>
      <c r="F117" s="34"/>
      <c r="G117" s="55">
        <f t="shared" si="4"/>
        <v>3</v>
      </c>
      <c r="H117" s="24"/>
      <c r="I117" s="1"/>
    </row>
    <row r="118" spans="1:9" ht="12">
      <c r="A118" s="10"/>
      <c r="B118" s="23" t="s">
        <v>5</v>
      </c>
      <c r="C118" s="50"/>
      <c r="D118" s="34">
        <v>8</v>
      </c>
      <c r="E118" s="34"/>
      <c r="F118" s="34"/>
      <c r="G118" s="55">
        <f t="shared" si="4"/>
        <v>8</v>
      </c>
      <c r="H118" s="24"/>
      <c r="I118" s="1"/>
    </row>
    <row r="119" spans="1:9" ht="12">
      <c r="A119" s="10"/>
      <c r="B119" s="23" t="s">
        <v>6</v>
      </c>
      <c r="C119" s="50"/>
      <c r="D119" s="34">
        <v>4</v>
      </c>
      <c r="E119" s="34"/>
      <c r="F119" s="34"/>
      <c r="G119" s="55">
        <f t="shared" si="4"/>
        <v>4</v>
      </c>
      <c r="H119" s="24"/>
      <c r="I119" s="1"/>
    </row>
    <row r="120" spans="1:9" ht="12">
      <c r="A120" s="20"/>
      <c r="B120" s="23" t="s">
        <v>122</v>
      </c>
      <c r="C120" s="51"/>
      <c r="D120" s="41">
        <v>73</v>
      </c>
      <c r="E120" s="41"/>
      <c r="F120" s="41"/>
      <c r="G120" s="55">
        <f t="shared" si="4"/>
        <v>73</v>
      </c>
      <c r="H120" s="24"/>
      <c r="I120" s="1"/>
    </row>
    <row r="121" spans="1:9" ht="12">
      <c r="A121" s="20"/>
      <c r="B121" s="23" t="s">
        <v>127</v>
      </c>
      <c r="C121" s="51"/>
      <c r="D121" s="41">
        <v>4</v>
      </c>
      <c r="E121" s="41"/>
      <c r="F121" s="41"/>
      <c r="G121" s="55">
        <f t="shared" si="4"/>
        <v>4</v>
      </c>
      <c r="H121" s="24"/>
      <c r="I121" s="1"/>
    </row>
    <row r="122" spans="1:9" ht="12">
      <c r="A122" s="20"/>
      <c r="B122" s="23" t="s">
        <v>123</v>
      </c>
      <c r="C122" s="51"/>
      <c r="D122" s="41">
        <v>6</v>
      </c>
      <c r="E122" s="41"/>
      <c r="F122" s="41"/>
      <c r="G122" s="55">
        <f t="shared" si="4"/>
        <v>6</v>
      </c>
      <c r="H122" s="24"/>
      <c r="I122" s="1"/>
    </row>
    <row r="123" spans="1:9" ht="12">
      <c r="A123" s="20"/>
      <c r="B123" s="23" t="s">
        <v>189</v>
      </c>
      <c r="C123" s="51"/>
      <c r="D123" s="41">
        <v>18</v>
      </c>
      <c r="E123" s="41"/>
      <c r="F123" s="41"/>
      <c r="G123" s="55">
        <f>SUM(C123:F123)</f>
        <v>18</v>
      </c>
      <c r="H123" s="24"/>
      <c r="I123" s="1"/>
    </row>
    <row r="124" spans="1:9" ht="12">
      <c r="A124" s="20"/>
      <c r="B124" s="23" t="s">
        <v>395</v>
      </c>
      <c r="C124" s="51"/>
      <c r="D124" s="41">
        <v>16</v>
      </c>
      <c r="E124" s="41"/>
      <c r="F124" s="41"/>
      <c r="G124" s="55">
        <f>SUM(C124:F124)</f>
        <v>16</v>
      </c>
      <c r="H124" s="24"/>
      <c r="I124" s="1"/>
    </row>
    <row r="125" spans="1:9" ht="12">
      <c r="A125" s="20"/>
      <c r="B125" s="23" t="s">
        <v>396</v>
      </c>
      <c r="C125" s="51"/>
      <c r="D125" s="41">
        <v>8</v>
      </c>
      <c r="E125" s="41"/>
      <c r="F125" s="41"/>
      <c r="G125" s="55">
        <f>SUM(C125:F125)</f>
        <v>8</v>
      </c>
      <c r="H125" s="24"/>
      <c r="I125" s="1"/>
    </row>
    <row r="126" spans="1:9" ht="12">
      <c r="A126" s="20"/>
      <c r="B126" s="23" t="s">
        <v>124</v>
      </c>
      <c r="C126" s="51"/>
      <c r="D126" s="41">
        <v>36</v>
      </c>
      <c r="E126" s="41"/>
      <c r="F126" s="41"/>
      <c r="G126" s="55">
        <f t="shared" si="4"/>
        <v>36</v>
      </c>
      <c r="H126" s="24"/>
      <c r="I126" s="1"/>
    </row>
    <row r="127" spans="1:9" ht="12">
      <c r="A127" s="20"/>
      <c r="B127" s="23" t="s">
        <v>125</v>
      </c>
      <c r="C127" s="51"/>
      <c r="D127" s="41">
        <v>8</v>
      </c>
      <c r="E127" s="41"/>
      <c r="F127" s="41"/>
      <c r="G127" s="55">
        <f t="shared" si="4"/>
        <v>8</v>
      </c>
      <c r="H127" s="24"/>
      <c r="I127" s="1"/>
    </row>
    <row r="128" spans="1:9" ht="12">
      <c r="A128" s="20"/>
      <c r="B128" s="23" t="s">
        <v>126</v>
      </c>
      <c r="C128" s="51"/>
      <c r="D128" s="41">
        <v>6</v>
      </c>
      <c r="E128" s="41"/>
      <c r="F128" s="41"/>
      <c r="G128" s="55">
        <f t="shared" si="4"/>
        <v>6</v>
      </c>
      <c r="H128" s="24"/>
      <c r="I128" s="1"/>
    </row>
    <row r="129" spans="1:9" ht="12">
      <c r="A129" s="20"/>
      <c r="B129" s="23" t="s">
        <v>188</v>
      </c>
      <c r="C129" s="51"/>
      <c r="D129" s="41">
        <v>18</v>
      </c>
      <c r="E129" s="41"/>
      <c r="F129" s="41"/>
      <c r="G129" s="55">
        <f t="shared" si="4"/>
        <v>18</v>
      </c>
      <c r="H129" s="24"/>
      <c r="I129" s="1"/>
    </row>
    <row r="130" spans="1:9" ht="12">
      <c r="A130" s="25"/>
      <c r="B130" s="26" t="s">
        <v>35</v>
      </c>
      <c r="C130" s="573">
        <f>SUM(C116:C129)</f>
        <v>0</v>
      </c>
      <c r="D130" s="35">
        <f>SUM(D116:D129)</f>
        <v>238</v>
      </c>
      <c r="E130" s="35">
        <f>SUM(E116:E129)</f>
        <v>0</v>
      </c>
      <c r="F130" s="35">
        <f>SUM(F116:F129)</f>
        <v>0</v>
      </c>
      <c r="G130" s="56">
        <f>SUM(G115:G129)</f>
        <v>238</v>
      </c>
      <c r="H130" s="27">
        <v>536</v>
      </c>
      <c r="I130" s="1"/>
    </row>
    <row r="131" spans="1:9" ht="12">
      <c r="A131" s="70"/>
      <c r="B131" s="31"/>
      <c r="C131" s="28"/>
      <c r="D131" s="28"/>
      <c r="E131" s="28"/>
      <c r="F131" s="28"/>
      <c r="G131" s="41"/>
      <c r="H131" s="32"/>
      <c r="I131" s="1"/>
    </row>
    <row r="132" spans="1:9" ht="12">
      <c r="A132" s="20"/>
      <c r="B132" s="46"/>
      <c r="C132" s="49"/>
      <c r="D132" s="47"/>
      <c r="E132" s="47"/>
      <c r="F132" s="47"/>
      <c r="G132" s="53"/>
      <c r="H132" s="19" t="s">
        <v>31</v>
      </c>
      <c r="I132" s="1"/>
    </row>
    <row r="133" spans="1:9" ht="12">
      <c r="A133" s="20" t="s">
        <v>43</v>
      </c>
      <c r="B133" s="21"/>
      <c r="C133" s="50"/>
      <c r="G133" s="54"/>
      <c r="H133" s="40">
        <v>2005</v>
      </c>
      <c r="I133" s="1"/>
    </row>
    <row r="134" spans="1:9" ht="12">
      <c r="A134" s="10"/>
      <c r="B134" s="23" t="s">
        <v>34</v>
      </c>
      <c r="C134" s="50"/>
      <c r="D134" s="34"/>
      <c r="E134" s="34"/>
      <c r="F134" s="34"/>
      <c r="G134" s="55">
        <f aca="true" t="shared" si="5" ref="G134:G141">SUM(C134:F134)</f>
        <v>0</v>
      </c>
      <c r="H134" s="24"/>
      <c r="I134" s="1"/>
    </row>
    <row r="135" spans="1:9" ht="12">
      <c r="A135" s="20"/>
      <c r="B135" s="23" t="s">
        <v>192</v>
      </c>
      <c r="C135" s="51"/>
      <c r="D135" s="41">
        <v>30</v>
      </c>
      <c r="E135" s="41"/>
      <c r="F135" s="41"/>
      <c r="G135" s="55">
        <f t="shared" si="5"/>
        <v>30</v>
      </c>
      <c r="H135" s="24"/>
      <c r="I135" s="1"/>
    </row>
    <row r="136" spans="1:9" ht="12">
      <c r="A136" s="20"/>
      <c r="B136" s="23" t="s">
        <v>111</v>
      </c>
      <c r="C136" s="51"/>
      <c r="D136" s="41">
        <v>20</v>
      </c>
      <c r="E136" s="41"/>
      <c r="F136" s="41"/>
      <c r="G136" s="55">
        <f t="shared" si="5"/>
        <v>20</v>
      </c>
      <c r="H136" s="24"/>
      <c r="I136" s="1"/>
    </row>
    <row r="137" spans="1:9" ht="12">
      <c r="A137" s="20"/>
      <c r="B137" s="23" t="s">
        <v>193</v>
      </c>
      <c r="C137" s="51"/>
      <c r="D137" s="41">
        <v>20</v>
      </c>
      <c r="E137" s="41"/>
      <c r="F137" s="41"/>
      <c r="G137" s="55">
        <f t="shared" si="5"/>
        <v>20</v>
      </c>
      <c r="H137" s="24"/>
      <c r="I137" s="1"/>
    </row>
    <row r="138" spans="1:9" ht="12">
      <c r="A138" s="20"/>
      <c r="B138" s="23" t="s">
        <v>190</v>
      </c>
      <c r="C138" s="51"/>
      <c r="D138" s="41">
        <v>25</v>
      </c>
      <c r="E138" s="41"/>
      <c r="F138" s="41"/>
      <c r="G138" s="55">
        <f t="shared" si="5"/>
        <v>25</v>
      </c>
      <c r="H138" s="24"/>
      <c r="I138" s="1"/>
    </row>
    <row r="139" spans="1:9" ht="12">
      <c r="A139" s="20"/>
      <c r="B139" s="23" t="s">
        <v>95</v>
      </c>
      <c r="C139" s="51"/>
      <c r="D139" s="41">
        <v>20</v>
      </c>
      <c r="E139" s="41"/>
      <c r="F139" s="41"/>
      <c r="G139" s="55">
        <f t="shared" si="5"/>
        <v>20</v>
      </c>
      <c r="H139" s="24"/>
      <c r="I139" s="1"/>
    </row>
    <row r="140" spans="1:9" ht="12">
      <c r="A140" s="20"/>
      <c r="B140" s="23" t="s">
        <v>44</v>
      </c>
      <c r="C140" s="51"/>
      <c r="D140" s="41">
        <v>10</v>
      </c>
      <c r="E140" s="41"/>
      <c r="F140" s="41"/>
      <c r="G140" s="55">
        <f t="shared" si="5"/>
        <v>10</v>
      </c>
      <c r="H140" s="24"/>
      <c r="I140" s="1"/>
    </row>
    <row r="141" spans="1:9" ht="12">
      <c r="A141" s="20"/>
      <c r="B141" s="23" t="s">
        <v>191</v>
      </c>
      <c r="C141" s="51"/>
      <c r="D141" s="41">
        <v>30</v>
      </c>
      <c r="E141" s="41"/>
      <c r="F141" s="41"/>
      <c r="G141" s="55">
        <f t="shared" si="5"/>
        <v>30</v>
      </c>
      <c r="H141" s="24"/>
      <c r="I141" s="1"/>
    </row>
    <row r="142" spans="1:9" ht="12">
      <c r="A142" s="25"/>
      <c r="B142" s="26" t="s">
        <v>35</v>
      </c>
      <c r="C142" s="52">
        <f>SUM(C134:C141)</f>
        <v>0</v>
      </c>
      <c r="D142" s="35">
        <f>SUM(D134:D141)</f>
        <v>155</v>
      </c>
      <c r="E142" s="35">
        <f>SUM(E139:E141)</f>
        <v>0</v>
      </c>
      <c r="F142" s="35">
        <f>SUM(F139:F141)</f>
        <v>0</v>
      </c>
      <c r="G142" s="56">
        <f>SUM(G134:G141)</f>
        <v>155</v>
      </c>
      <c r="H142" s="27">
        <v>110</v>
      </c>
      <c r="I142" s="1"/>
    </row>
    <row r="143" spans="1:9" ht="12">
      <c r="A143" s="70"/>
      <c r="B143" s="31"/>
      <c r="C143" s="28"/>
      <c r="D143" s="28"/>
      <c r="E143" s="28"/>
      <c r="F143" s="28"/>
      <c r="G143" s="41"/>
      <c r="H143" s="32"/>
      <c r="I143" s="1"/>
    </row>
    <row r="144" spans="1:9" ht="12">
      <c r="A144" s="20"/>
      <c r="B144" s="46"/>
      <c r="C144" s="49"/>
      <c r="D144" s="47"/>
      <c r="E144" s="47"/>
      <c r="F144" s="47"/>
      <c r="G144" s="53"/>
      <c r="H144" s="19" t="s">
        <v>31</v>
      </c>
      <c r="I144" s="1"/>
    </row>
    <row r="145" spans="1:9" ht="12">
      <c r="A145" s="20" t="s">
        <v>111</v>
      </c>
      <c r="B145" s="21"/>
      <c r="C145" s="50"/>
      <c r="G145" s="54"/>
      <c r="H145" s="40">
        <v>2005</v>
      </c>
      <c r="I145" s="1"/>
    </row>
    <row r="146" spans="1:10" ht="12">
      <c r="A146" s="10"/>
      <c r="B146" s="23" t="s">
        <v>34</v>
      </c>
      <c r="C146" s="50"/>
      <c r="D146" s="34"/>
      <c r="E146" s="34"/>
      <c r="F146" s="34"/>
      <c r="G146" s="55">
        <f aca="true" t="shared" si="6" ref="G146:G163">SUM(C146:F146)</f>
        <v>0</v>
      </c>
      <c r="H146" s="24"/>
      <c r="I146" s="1"/>
      <c r="J146" s="7"/>
    </row>
    <row r="147" spans="1:10" ht="12">
      <c r="A147" s="10"/>
      <c r="B147" s="23" t="s">
        <v>194</v>
      </c>
      <c r="C147" s="50"/>
      <c r="D147" s="34">
        <v>150</v>
      </c>
      <c r="E147" s="34"/>
      <c r="F147" s="34"/>
      <c r="G147" s="55">
        <f>C147+D147+E147+F147</f>
        <v>150</v>
      </c>
      <c r="H147" s="24"/>
      <c r="I147" s="1" t="s">
        <v>377</v>
      </c>
      <c r="J147" s="7"/>
    </row>
    <row r="148" spans="1:10" ht="12">
      <c r="A148" s="10"/>
      <c r="B148" s="23" t="s">
        <v>96</v>
      </c>
      <c r="C148" s="50"/>
      <c r="D148" s="34"/>
      <c r="E148" s="34"/>
      <c r="F148" s="34"/>
      <c r="G148" s="55">
        <f t="shared" si="6"/>
        <v>0</v>
      </c>
      <c r="H148" s="24"/>
      <c r="I148" s="1"/>
      <c r="J148" s="7"/>
    </row>
    <row r="149" spans="1:10" ht="12">
      <c r="A149" s="10"/>
      <c r="B149" s="23" t="s">
        <v>97</v>
      </c>
      <c r="C149" s="50"/>
      <c r="D149" s="34"/>
      <c r="E149" s="34"/>
      <c r="F149" s="34"/>
      <c r="G149" s="55">
        <f t="shared" si="6"/>
        <v>0</v>
      </c>
      <c r="H149" s="24"/>
      <c r="I149" s="1"/>
      <c r="J149" s="7"/>
    </row>
    <row r="150" spans="1:10" ht="12">
      <c r="A150" s="10"/>
      <c r="B150" s="23" t="s">
        <v>129</v>
      </c>
      <c r="C150" s="50"/>
      <c r="D150" s="34">
        <v>5</v>
      </c>
      <c r="E150" s="34">
        <v>5</v>
      </c>
      <c r="F150" s="34"/>
      <c r="G150" s="55">
        <f t="shared" si="6"/>
        <v>10</v>
      </c>
      <c r="H150" s="24"/>
      <c r="I150" s="1"/>
      <c r="J150" s="7"/>
    </row>
    <row r="151" spans="1:10" ht="12">
      <c r="A151" s="10"/>
      <c r="B151" s="23" t="s">
        <v>24</v>
      </c>
      <c r="C151" s="50"/>
      <c r="D151" s="34"/>
      <c r="E151" s="34"/>
      <c r="F151" s="34"/>
      <c r="G151" s="55">
        <f t="shared" si="6"/>
        <v>0</v>
      </c>
      <c r="H151" s="24"/>
      <c r="I151" s="1"/>
      <c r="J151" s="7"/>
    </row>
    <row r="152" spans="1:10" ht="12">
      <c r="A152" s="10"/>
      <c r="B152" s="23" t="s">
        <v>91</v>
      </c>
      <c r="C152" s="50"/>
      <c r="D152" s="34"/>
      <c r="E152" s="34"/>
      <c r="F152" s="34"/>
      <c r="G152" s="55">
        <f t="shared" si="6"/>
        <v>0</v>
      </c>
      <c r="H152" s="24"/>
      <c r="I152" s="1"/>
      <c r="J152" s="7"/>
    </row>
    <row r="153" spans="1:10" ht="12">
      <c r="A153" s="10"/>
      <c r="B153" s="23" t="s">
        <v>17</v>
      </c>
      <c r="C153" s="50"/>
      <c r="D153" s="34">
        <v>25</v>
      </c>
      <c r="E153" s="34"/>
      <c r="F153" s="34"/>
      <c r="G153" s="55">
        <f t="shared" si="6"/>
        <v>25</v>
      </c>
      <c r="H153" s="24"/>
      <c r="I153" s="1"/>
      <c r="J153" s="7"/>
    </row>
    <row r="154" spans="1:10" ht="12">
      <c r="A154" s="10"/>
      <c r="B154" s="23" t="s">
        <v>98</v>
      </c>
      <c r="C154" s="50"/>
      <c r="D154" s="34">
        <v>2</v>
      </c>
      <c r="E154" s="34"/>
      <c r="F154" s="34"/>
      <c r="G154" s="55">
        <f t="shared" si="6"/>
        <v>2</v>
      </c>
      <c r="H154" s="24"/>
      <c r="I154" s="1"/>
      <c r="J154" s="7"/>
    </row>
    <row r="155" spans="1:10" ht="12">
      <c r="A155" s="10"/>
      <c r="B155" s="23" t="s">
        <v>99</v>
      </c>
      <c r="C155" s="50"/>
      <c r="D155" s="34">
        <v>2</v>
      </c>
      <c r="E155" s="34">
        <v>3</v>
      </c>
      <c r="F155" s="34"/>
      <c r="G155" s="55">
        <f t="shared" si="6"/>
        <v>5</v>
      </c>
      <c r="H155" s="24"/>
      <c r="I155" s="1"/>
      <c r="J155" s="7"/>
    </row>
    <row r="156" spans="1:10" ht="12">
      <c r="A156" s="10"/>
      <c r="B156" s="23" t="s">
        <v>197</v>
      </c>
      <c r="C156" s="50"/>
      <c r="D156" s="34">
        <v>2</v>
      </c>
      <c r="E156" s="34"/>
      <c r="F156" s="34"/>
      <c r="G156" s="55">
        <f t="shared" si="6"/>
        <v>2</v>
      </c>
      <c r="H156" s="24"/>
      <c r="I156" s="1"/>
      <c r="J156" s="7"/>
    </row>
    <row r="157" spans="1:10" ht="12">
      <c r="A157" s="10"/>
      <c r="B157" s="23" t="s">
        <v>86</v>
      </c>
      <c r="C157" s="50"/>
      <c r="D157" s="34">
        <v>10</v>
      </c>
      <c r="E157" s="34"/>
      <c r="F157" s="34"/>
      <c r="G157" s="55">
        <f t="shared" si="6"/>
        <v>10</v>
      </c>
      <c r="H157" s="24"/>
      <c r="I157" s="1"/>
      <c r="J157" s="11"/>
    </row>
    <row r="158" spans="1:10" ht="12">
      <c r="A158" s="20"/>
      <c r="B158" s="23" t="s">
        <v>130</v>
      </c>
      <c r="C158" s="51"/>
      <c r="D158" s="41">
        <v>5</v>
      </c>
      <c r="E158" s="41">
        <v>5</v>
      </c>
      <c r="F158" s="41"/>
      <c r="G158" s="55">
        <f t="shared" si="6"/>
        <v>10</v>
      </c>
      <c r="H158" s="24"/>
      <c r="I158" s="1"/>
      <c r="J158" s="11">
        <f>D164-206</f>
        <v>247</v>
      </c>
    </row>
    <row r="159" spans="1:10" ht="12">
      <c r="A159" s="20"/>
      <c r="B159" s="23" t="s">
        <v>25</v>
      </c>
      <c r="C159" s="51"/>
      <c r="D159" s="41">
        <f>65</f>
        <v>65</v>
      </c>
      <c r="E159" s="41"/>
      <c r="F159" s="41"/>
      <c r="G159" s="55">
        <f t="shared" si="6"/>
        <v>65</v>
      </c>
      <c r="H159" s="24"/>
      <c r="I159" s="1" t="s">
        <v>377</v>
      </c>
      <c r="J159" s="11"/>
    </row>
    <row r="160" spans="1:10" ht="12">
      <c r="A160" s="20"/>
      <c r="B160" s="23" t="s">
        <v>131</v>
      </c>
      <c r="C160" s="51"/>
      <c r="D160" s="41">
        <v>12</v>
      </c>
      <c r="E160" s="41"/>
      <c r="F160" s="41"/>
      <c r="G160" s="55">
        <f t="shared" si="6"/>
        <v>12</v>
      </c>
      <c r="H160" s="24"/>
      <c r="I160" s="1"/>
      <c r="J160" s="11"/>
    </row>
    <row r="161" spans="1:10" ht="12">
      <c r="A161" s="20"/>
      <c r="B161" s="23" t="s">
        <v>132</v>
      </c>
      <c r="C161" s="51"/>
      <c r="D161" s="41">
        <v>15</v>
      </c>
      <c r="E161" s="41"/>
      <c r="F161" s="41"/>
      <c r="G161" s="55">
        <f t="shared" si="6"/>
        <v>15</v>
      </c>
      <c r="H161" s="24"/>
      <c r="I161" s="1"/>
      <c r="J161" s="11"/>
    </row>
    <row r="162" spans="1:10" ht="12">
      <c r="A162" s="20"/>
      <c r="B162" s="23" t="s">
        <v>195</v>
      </c>
      <c r="C162" s="51"/>
      <c r="D162" s="41">
        <f>50+100</f>
        <v>150</v>
      </c>
      <c r="E162" s="41"/>
      <c r="F162" s="41"/>
      <c r="G162" s="55">
        <f t="shared" si="6"/>
        <v>150</v>
      </c>
      <c r="H162" s="24"/>
      <c r="I162" s="1" t="s">
        <v>377</v>
      </c>
      <c r="J162" s="11"/>
    </row>
    <row r="163" spans="1:10" ht="12">
      <c r="A163" s="20"/>
      <c r="B163" s="23" t="s">
        <v>378</v>
      </c>
      <c r="C163" s="51"/>
      <c r="D163" s="41">
        <v>10</v>
      </c>
      <c r="E163" s="41"/>
      <c r="F163" s="41"/>
      <c r="G163" s="55">
        <f t="shared" si="6"/>
        <v>10</v>
      </c>
      <c r="H163" s="24"/>
      <c r="I163" s="1"/>
      <c r="J163" s="11"/>
    </row>
    <row r="164" spans="1:10" ht="12">
      <c r="A164" s="25"/>
      <c r="B164" s="26" t="s">
        <v>35</v>
      </c>
      <c r="C164" s="52">
        <f>SUM(C146:C162)</f>
        <v>0</v>
      </c>
      <c r="D164" s="35">
        <f>SUM(D146:D163)</f>
        <v>453</v>
      </c>
      <c r="E164" s="35">
        <f>SUM(E147:E162)</f>
        <v>13</v>
      </c>
      <c r="F164" s="35">
        <f>F155+F156+F157+F158+F159+F160+F162</f>
        <v>0</v>
      </c>
      <c r="G164" s="56">
        <f>SUM(G146:G163)</f>
        <v>466</v>
      </c>
      <c r="H164" s="27">
        <v>173</v>
      </c>
      <c r="I164" s="1"/>
      <c r="J164" s="11"/>
    </row>
    <row r="165" spans="1:10" ht="12">
      <c r="A165" s="70"/>
      <c r="B165" s="31"/>
      <c r="C165" s="28"/>
      <c r="D165" s="28"/>
      <c r="E165" s="28"/>
      <c r="F165" s="28"/>
      <c r="G165" s="41"/>
      <c r="H165" s="32"/>
      <c r="I165" s="1"/>
      <c r="J165" s="11"/>
    </row>
    <row r="166" spans="1:9" ht="12.75" customHeight="1">
      <c r="A166" s="20"/>
      <c r="B166" s="46"/>
      <c r="C166" s="49"/>
      <c r="D166" s="47"/>
      <c r="E166" s="47"/>
      <c r="F166" s="47"/>
      <c r="G166" s="53"/>
      <c r="H166" s="19" t="s">
        <v>31</v>
      </c>
      <c r="I166" s="1"/>
    </row>
    <row r="167" spans="1:10" ht="12">
      <c r="A167" s="20" t="s">
        <v>3</v>
      </c>
      <c r="B167" s="21"/>
      <c r="C167" s="50"/>
      <c r="G167" s="54"/>
      <c r="H167" s="40">
        <v>2005</v>
      </c>
      <c r="I167" s="1"/>
      <c r="J167" s="7"/>
    </row>
    <row r="168" spans="1:10" ht="12">
      <c r="A168" s="10"/>
      <c r="B168" s="23" t="s">
        <v>34</v>
      </c>
      <c r="C168" s="50"/>
      <c r="D168" s="34"/>
      <c r="E168" s="34"/>
      <c r="F168" s="34"/>
      <c r="G168" s="55">
        <f>SUM(C168:F168)</f>
        <v>0</v>
      </c>
      <c r="H168" s="24"/>
      <c r="I168" s="9"/>
      <c r="J168" s="7"/>
    </row>
    <row r="169" spans="1:10" ht="12">
      <c r="A169" s="10"/>
      <c r="B169" s="23" t="s">
        <v>217</v>
      </c>
      <c r="C169" s="50"/>
      <c r="D169" s="34">
        <f>50+95</f>
        <v>145</v>
      </c>
      <c r="E169" s="34"/>
      <c r="F169" s="34"/>
      <c r="G169" s="55">
        <f>C169+D169+E169+F169</f>
        <v>145</v>
      </c>
      <c r="H169" s="24"/>
      <c r="I169" s="9" t="s">
        <v>377</v>
      </c>
      <c r="J169" s="7"/>
    </row>
    <row r="170" spans="1:10" ht="12">
      <c r="A170" s="10"/>
      <c r="B170" s="23" t="s">
        <v>23</v>
      </c>
      <c r="C170" s="50"/>
      <c r="D170" s="34">
        <v>40</v>
      </c>
      <c r="E170" s="34"/>
      <c r="F170" s="34"/>
      <c r="G170" s="55">
        <f>SUM(C170:F170)</f>
        <v>40</v>
      </c>
      <c r="H170" s="24"/>
      <c r="I170" s="11"/>
      <c r="J170" s="7"/>
    </row>
    <row r="171" spans="1:10" ht="12">
      <c r="A171" s="22"/>
      <c r="B171" s="23" t="s">
        <v>36</v>
      </c>
      <c r="C171" s="51"/>
      <c r="D171" s="41">
        <v>15</v>
      </c>
      <c r="E171" s="41"/>
      <c r="F171" s="41"/>
      <c r="G171" s="55">
        <f>SUM(C171:F171)</f>
        <v>15</v>
      </c>
      <c r="H171" s="24"/>
      <c r="I171" s="11"/>
      <c r="J171" s="11"/>
    </row>
    <row r="172" spans="1:10" ht="12">
      <c r="A172" s="25"/>
      <c r="B172" s="26" t="s">
        <v>35</v>
      </c>
      <c r="C172" s="52">
        <f>SUM(C168:C171)</f>
        <v>0</v>
      </c>
      <c r="D172" s="35">
        <f>SUM(D168:D171)</f>
        <v>200</v>
      </c>
      <c r="E172" s="35">
        <f>SUM(E168:E171)</f>
        <v>0</v>
      </c>
      <c r="F172" s="35">
        <f>SUM(F168:F171)</f>
        <v>0</v>
      </c>
      <c r="G172" s="52">
        <f>SUM(G168:G171)</f>
        <v>200</v>
      </c>
      <c r="H172" s="27">
        <v>56</v>
      </c>
      <c r="I172" s="11"/>
      <c r="J172" s="11"/>
    </row>
    <row r="173" spans="1:10" ht="12">
      <c r="A173" s="30"/>
      <c r="B173" s="31"/>
      <c r="C173" s="500"/>
      <c r="D173" s="500"/>
      <c r="E173" s="500"/>
      <c r="F173" s="500"/>
      <c r="G173" s="500"/>
      <c r="H173" s="29"/>
      <c r="I173" s="11"/>
      <c r="J173" s="11"/>
    </row>
    <row r="174" spans="1:10" ht="12">
      <c r="A174" s="501" t="s">
        <v>315</v>
      </c>
      <c r="B174" s="46"/>
      <c r="C174" s="49"/>
      <c r="D174" s="502"/>
      <c r="E174" s="502"/>
      <c r="F174" s="502"/>
      <c r="G174" s="53"/>
      <c r="H174" s="503"/>
      <c r="I174" s="11"/>
      <c r="J174" s="11"/>
    </row>
    <row r="175" spans="1:10" ht="12">
      <c r="A175" s="20"/>
      <c r="B175" s="21" t="s">
        <v>364</v>
      </c>
      <c r="C175" s="51"/>
      <c r="D175" s="41">
        <f>400-80</f>
        <v>320</v>
      </c>
      <c r="E175" s="41"/>
      <c r="F175" s="41"/>
      <c r="G175" s="55">
        <f>D175</f>
        <v>320</v>
      </c>
      <c r="H175" s="504"/>
      <c r="I175" s="11" t="s">
        <v>377</v>
      </c>
      <c r="J175" s="11"/>
    </row>
    <row r="176" spans="1:10" ht="12">
      <c r="A176" s="25"/>
      <c r="B176" s="26" t="s">
        <v>35</v>
      </c>
      <c r="C176" s="52">
        <f>C175</f>
        <v>0</v>
      </c>
      <c r="D176" s="35">
        <f>D175</f>
        <v>320</v>
      </c>
      <c r="E176" s="35">
        <f>E175</f>
        <v>0</v>
      </c>
      <c r="F176" s="35">
        <f>F175</f>
        <v>0</v>
      </c>
      <c r="G176" s="56">
        <f>G175</f>
        <v>320</v>
      </c>
      <c r="H176" s="505"/>
      <c r="I176" s="11"/>
      <c r="J176" s="11"/>
    </row>
    <row r="177" spans="1:10" ht="12">
      <c r="A177" s="30"/>
      <c r="B177" s="31"/>
      <c r="C177" s="500"/>
      <c r="D177" s="500"/>
      <c r="E177" s="500"/>
      <c r="F177" s="500"/>
      <c r="G177" s="500"/>
      <c r="H177" s="29"/>
      <c r="I177" s="11"/>
      <c r="J177" s="11"/>
    </row>
    <row r="178" spans="1:10" ht="12">
      <c r="A178" s="30"/>
      <c r="B178" s="31"/>
      <c r="C178" s="41"/>
      <c r="D178" s="41"/>
      <c r="E178" s="41"/>
      <c r="F178" s="41"/>
      <c r="G178" s="41"/>
      <c r="H178" s="32"/>
      <c r="I178" s="11"/>
      <c r="J178" s="11"/>
    </row>
    <row r="179" spans="1:10" ht="15.75">
      <c r="A179" s="38" t="s">
        <v>198</v>
      </c>
      <c r="B179" s="31"/>
      <c r="C179" s="28"/>
      <c r="D179" s="28"/>
      <c r="E179" s="28"/>
      <c r="F179" s="28"/>
      <c r="G179" s="41"/>
      <c r="H179" s="32"/>
      <c r="I179" s="11"/>
      <c r="J179" s="11"/>
    </row>
    <row r="180" spans="1:10" ht="12">
      <c r="A180" s="20"/>
      <c r="B180" s="46"/>
      <c r="C180" s="49"/>
      <c r="D180" s="47"/>
      <c r="E180" s="47"/>
      <c r="F180" s="47"/>
      <c r="G180" s="53"/>
      <c r="H180" s="19" t="s">
        <v>31</v>
      </c>
      <c r="I180" s="11"/>
      <c r="J180" s="11"/>
    </row>
    <row r="181" spans="1:10" ht="12">
      <c r="A181" s="20" t="s">
        <v>61</v>
      </c>
      <c r="B181" s="21"/>
      <c r="C181" s="50"/>
      <c r="G181" s="54"/>
      <c r="H181" s="40">
        <v>2005</v>
      </c>
      <c r="I181" s="11"/>
      <c r="J181" s="11"/>
    </row>
    <row r="182" spans="1:10" ht="12">
      <c r="A182" s="10"/>
      <c r="B182" s="23" t="s">
        <v>34</v>
      </c>
      <c r="C182" s="50"/>
      <c r="D182" s="34"/>
      <c r="E182" s="34"/>
      <c r="F182" s="34"/>
      <c r="G182" s="55">
        <f aca="true" t="shared" si="7" ref="G182:G187">SUM(C182:F182)</f>
        <v>0</v>
      </c>
      <c r="H182" s="24"/>
      <c r="I182" s="11"/>
      <c r="J182" s="8"/>
    </row>
    <row r="183" spans="1:10" ht="12">
      <c r="A183" s="20"/>
      <c r="B183" s="23" t="s">
        <v>62</v>
      </c>
      <c r="C183" s="51">
        <v>5</v>
      </c>
      <c r="D183" s="41"/>
      <c r="E183" s="41"/>
      <c r="F183" s="41"/>
      <c r="G183" s="55">
        <f t="shared" si="7"/>
        <v>5</v>
      </c>
      <c r="H183" s="24"/>
      <c r="I183" s="11"/>
      <c r="J183" s="11"/>
    </row>
    <row r="184" spans="1:10" ht="12">
      <c r="A184" s="20"/>
      <c r="B184" s="23" t="s">
        <v>310</v>
      </c>
      <c r="C184" s="51">
        <v>55</v>
      </c>
      <c r="D184" s="41"/>
      <c r="E184" s="41"/>
      <c r="F184" s="41"/>
      <c r="G184" s="55">
        <f t="shared" si="7"/>
        <v>55</v>
      </c>
      <c r="H184" s="24"/>
      <c r="I184" s="11"/>
      <c r="J184" s="11"/>
    </row>
    <row r="185" spans="1:10" ht="12">
      <c r="A185" s="20"/>
      <c r="B185" s="23" t="s">
        <v>109</v>
      </c>
      <c r="C185" s="51">
        <v>50</v>
      </c>
      <c r="D185" s="41"/>
      <c r="E185" s="41"/>
      <c r="F185" s="41"/>
      <c r="G185" s="55">
        <f t="shared" si="7"/>
        <v>50</v>
      </c>
      <c r="H185" s="24"/>
      <c r="I185" s="11"/>
      <c r="J185" s="11"/>
    </row>
    <row r="186" spans="1:10" ht="12">
      <c r="A186" s="20"/>
      <c r="B186" s="23" t="s">
        <v>63</v>
      </c>
      <c r="C186" s="51">
        <v>20</v>
      </c>
      <c r="D186" s="41"/>
      <c r="E186" s="41"/>
      <c r="F186" s="41"/>
      <c r="G186" s="55">
        <f t="shared" si="7"/>
        <v>20</v>
      </c>
      <c r="H186" s="24"/>
      <c r="I186" s="11"/>
      <c r="J186" s="11"/>
    </row>
    <row r="187" spans="1:10" ht="12">
      <c r="A187" s="20"/>
      <c r="B187" s="23" t="s">
        <v>311</v>
      </c>
      <c r="C187" s="51">
        <v>70</v>
      </c>
      <c r="D187" s="41"/>
      <c r="E187" s="41"/>
      <c r="F187" s="41"/>
      <c r="G187" s="55">
        <f t="shared" si="7"/>
        <v>70</v>
      </c>
      <c r="H187" s="24"/>
      <c r="I187" s="11"/>
      <c r="J187" s="11"/>
    </row>
    <row r="188" spans="1:10" ht="12">
      <c r="A188" s="25"/>
      <c r="B188" s="26" t="s">
        <v>35</v>
      </c>
      <c r="C188" s="52">
        <f>SUM(C182:C187)</f>
        <v>200</v>
      </c>
      <c r="D188" s="35">
        <f>SUM(D182:D187)</f>
        <v>0</v>
      </c>
      <c r="E188" s="35">
        <f>SUM(E182:E187)</f>
        <v>0</v>
      </c>
      <c r="F188" s="35">
        <f>SUM(F182:F187)</f>
        <v>0</v>
      </c>
      <c r="G188" s="56">
        <f>SUM(G182:G187)</f>
        <v>200</v>
      </c>
      <c r="H188" s="27">
        <v>105</v>
      </c>
      <c r="I188" s="11"/>
      <c r="J188" s="11"/>
    </row>
    <row r="189" spans="1:10" ht="12">
      <c r="A189" s="70"/>
      <c r="B189" s="31"/>
      <c r="C189" s="28"/>
      <c r="D189" s="28"/>
      <c r="E189" s="28"/>
      <c r="F189" s="28"/>
      <c r="G189" s="41"/>
      <c r="H189" s="32"/>
      <c r="I189" s="11"/>
      <c r="J189" s="11"/>
    </row>
    <row r="190" spans="1:10" ht="12">
      <c r="A190" s="20"/>
      <c r="B190" s="46"/>
      <c r="C190" s="49"/>
      <c r="D190" s="47"/>
      <c r="E190" s="47"/>
      <c r="F190" s="47"/>
      <c r="G190" s="53"/>
      <c r="H190" s="19" t="s">
        <v>31</v>
      </c>
      <c r="I190" s="11"/>
      <c r="J190" s="11"/>
    </row>
    <row r="191" spans="1:10" ht="12">
      <c r="A191" s="20" t="s">
        <v>68</v>
      </c>
      <c r="B191" s="21"/>
      <c r="C191" s="50"/>
      <c r="G191" s="54"/>
      <c r="H191" s="40">
        <v>2005</v>
      </c>
      <c r="I191" s="11"/>
      <c r="J191" s="11"/>
    </row>
    <row r="192" spans="1:10" ht="12">
      <c r="A192" s="10"/>
      <c r="B192" s="23" t="s">
        <v>34</v>
      </c>
      <c r="C192" s="50"/>
      <c r="D192" s="34"/>
      <c r="E192" s="34"/>
      <c r="F192" s="34"/>
      <c r="G192" s="55">
        <f>SUM(C192:F192)</f>
        <v>0</v>
      </c>
      <c r="H192" s="24"/>
      <c r="I192" s="11"/>
      <c r="J192" s="11"/>
    </row>
    <row r="193" spans="1:10" ht="12">
      <c r="A193" s="10"/>
      <c r="B193" s="23" t="s">
        <v>199</v>
      </c>
      <c r="C193" s="50">
        <v>5</v>
      </c>
      <c r="D193" s="34"/>
      <c r="E193" s="34"/>
      <c r="F193" s="34"/>
      <c r="G193" s="55">
        <f>SUM(C193:F193)</f>
        <v>5</v>
      </c>
      <c r="H193" s="24"/>
      <c r="I193" s="11"/>
      <c r="J193" s="11"/>
    </row>
    <row r="194" spans="1:10" ht="12">
      <c r="A194" s="25"/>
      <c r="B194" s="26" t="s">
        <v>35</v>
      </c>
      <c r="C194" s="52">
        <f>SUM(C192:C193)</f>
        <v>5</v>
      </c>
      <c r="D194" s="35">
        <f>SUM(D192:D193)</f>
        <v>0</v>
      </c>
      <c r="E194" s="35">
        <f>SUM(E192:E193)</f>
        <v>0</v>
      </c>
      <c r="F194" s="35">
        <f>SUM(F192:F193)</f>
        <v>0</v>
      </c>
      <c r="G194" s="52">
        <f>SUM(G192:G193)</f>
        <v>5</v>
      </c>
      <c r="H194" s="27">
        <v>5</v>
      </c>
      <c r="I194" s="11"/>
      <c r="J194" s="11"/>
    </row>
    <row r="195" spans="1:10" ht="12">
      <c r="A195" s="70"/>
      <c r="B195" s="31"/>
      <c r="C195" s="28"/>
      <c r="D195" s="28"/>
      <c r="E195" s="28"/>
      <c r="F195" s="28"/>
      <c r="G195" s="41"/>
      <c r="H195" s="32"/>
      <c r="I195" s="11"/>
      <c r="J195" s="11"/>
    </row>
    <row r="196" spans="1:10" ht="12">
      <c r="A196" s="20"/>
      <c r="B196" s="46"/>
      <c r="C196" s="49"/>
      <c r="D196" s="47"/>
      <c r="E196" s="47"/>
      <c r="F196" s="47"/>
      <c r="G196" s="53"/>
      <c r="H196" s="19" t="s">
        <v>31</v>
      </c>
      <c r="I196" s="11"/>
      <c r="J196" s="11"/>
    </row>
    <row r="197" spans="1:10" ht="12">
      <c r="A197" s="20" t="s">
        <v>49</v>
      </c>
      <c r="B197" s="21"/>
      <c r="C197" s="50"/>
      <c r="G197" s="54"/>
      <c r="H197" s="40">
        <v>2005</v>
      </c>
      <c r="I197" s="11"/>
      <c r="J197" s="11"/>
    </row>
    <row r="198" spans="1:10" ht="12">
      <c r="A198" s="10"/>
      <c r="B198" s="23" t="s">
        <v>34</v>
      </c>
      <c r="C198" s="50"/>
      <c r="D198" s="34">
        <v>5</v>
      </c>
      <c r="E198" s="34"/>
      <c r="F198" s="34"/>
      <c r="G198" s="55">
        <f>SUM(C198:F198)</f>
        <v>5</v>
      </c>
      <c r="H198" s="24"/>
      <c r="I198" s="11"/>
      <c r="J198" s="11"/>
    </row>
    <row r="199" spans="1:10" ht="12">
      <c r="A199" s="10"/>
      <c r="B199" s="23" t="s">
        <v>50</v>
      </c>
      <c r="C199" s="50"/>
      <c r="D199" s="34">
        <v>20</v>
      </c>
      <c r="E199" s="34"/>
      <c r="F199" s="34"/>
      <c r="G199" s="55">
        <f>SUM(C199:F199)</f>
        <v>20</v>
      </c>
      <c r="H199" s="24"/>
      <c r="I199" s="11"/>
      <c r="J199" s="11"/>
    </row>
    <row r="200" spans="1:10" ht="12">
      <c r="A200" s="25"/>
      <c r="B200" s="26" t="s">
        <v>35</v>
      </c>
      <c r="C200" s="52">
        <f>SUM(C198:C199)</f>
        <v>0</v>
      </c>
      <c r="D200" s="35">
        <f>SUM(D198:D199)</f>
        <v>25</v>
      </c>
      <c r="E200" s="35">
        <f>SUM(E198:E199)</f>
        <v>0</v>
      </c>
      <c r="F200" s="35">
        <f>SUM(F198:F199)</f>
        <v>0</v>
      </c>
      <c r="G200" s="52">
        <f>SUM(G198:G199)</f>
        <v>25</v>
      </c>
      <c r="H200" s="27">
        <v>35</v>
      </c>
      <c r="I200" s="11"/>
      <c r="J200" s="11"/>
    </row>
    <row r="201" spans="1:10" ht="12">
      <c r="A201" s="70"/>
      <c r="B201" s="31"/>
      <c r="C201" s="28"/>
      <c r="D201" s="28"/>
      <c r="E201" s="28"/>
      <c r="F201" s="28"/>
      <c r="G201" s="41"/>
      <c r="H201" s="32"/>
      <c r="I201" s="11"/>
      <c r="J201" s="11"/>
    </row>
    <row r="202" spans="1:10" ht="12">
      <c r="A202" s="20"/>
      <c r="B202" s="46"/>
      <c r="C202" s="49"/>
      <c r="D202" s="47"/>
      <c r="E202" s="47"/>
      <c r="F202" s="47"/>
      <c r="G202" s="53"/>
      <c r="H202" s="19" t="s">
        <v>31</v>
      </c>
      <c r="I202" s="11"/>
      <c r="J202" s="11"/>
    </row>
    <row r="203" spans="1:10" ht="12">
      <c r="A203" s="20" t="s">
        <v>65</v>
      </c>
      <c r="B203" s="21"/>
      <c r="C203" s="50"/>
      <c r="G203" s="54"/>
      <c r="H203" s="40">
        <v>2005</v>
      </c>
      <c r="I203" s="11"/>
      <c r="J203" s="11"/>
    </row>
    <row r="204" spans="1:10" ht="12">
      <c r="A204" s="10"/>
      <c r="B204" s="23" t="s">
        <v>34</v>
      </c>
      <c r="C204" s="50"/>
      <c r="D204" s="34"/>
      <c r="E204" s="34"/>
      <c r="F204" s="34"/>
      <c r="G204" s="55">
        <f aca="true" t="shared" si="8" ref="G204:G211">SUM(C204:F204)</f>
        <v>0</v>
      </c>
      <c r="H204" s="24"/>
      <c r="I204" s="11"/>
      <c r="J204" s="11"/>
    </row>
    <row r="205" spans="1:10" ht="12">
      <c r="A205" s="20"/>
      <c r="B205" s="23" t="s">
        <v>66</v>
      </c>
      <c r="C205" s="51">
        <v>100</v>
      </c>
      <c r="D205" s="41">
        <v>80</v>
      </c>
      <c r="E205" s="41">
        <v>10</v>
      </c>
      <c r="F205" s="41"/>
      <c r="G205" s="55">
        <f t="shared" si="8"/>
        <v>190</v>
      </c>
      <c r="H205" s="24"/>
      <c r="I205" s="11"/>
      <c r="J205" s="11"/>
    </row>
    <row r="206" spans="1:10" ht="12">
      <c r="A206" s="20"/>
      <c r="B206" s="23" t="s">
        <v>27</v>
      </c>
      <c r="C206" s="51">
        <v>30</v>
      </c>
      <c r="D206" s="41"/>
      <c r="E206" s="41"/>
      <c r="F206" s="41"/>
      <c r="G206" s="55">
        <f t="shared" si="8"/>
        <v>30</v>
      </c>
      <c r="H206" s="24"/>
      <c r="I206" s="11"/>
      <c r="J206" s="8"/>
    </row>
    <row r="207" spans="1:10" ht="12">
      <c r="A207" s="20"/>
      <c r="B207" s="23" t="s">
        <v>121</v>
      </c>
      <c r="C207" s="51"/>
      <c r="D207" s="41">
        <v>10</v>
      </c>
      <c r="E207" s="41"/>
      <c r="F207" s="41"/>
      <c r="G207" s="55">
        <f t="shared" si="8"/>
        <v>10</v>
      </c>
      <c r="H207" s="24"/>
      <c r="I207" s="11"/>
      <c r="J207" s="11"/>
    </row>
    <row r="208" spans="1:10" ht="12">
      <c r="A208" s="20"/>
      <c r="B208" s="23" t="s">
        <v>20</v>
      </c>
      <c r="C208" s="51"/>
      <c r="D208" s="41">
        <v>15</v>
      </c>
      <c r="E208" s="41"/>
      <c r="F208" s="41"/>
      <c r="G208" s="55">
        <f t="shared" si="8"/>
        <v>15</v>
      </c>
      <c r="H208" s="24"/>
      <c r="I208" s="11"/>
      <c r="J208" s="11"/>
    </row>
    <row r="209" spans="1:10" ht="12">
      <c r="A209" s="20"/>
      <c r="B209" s="23" t="s">
        <v>110</v>
      </c>
      <c r="C209" s="51"/>
      <c r="D209" s="41">
        <v>15</v>
      </c>
      <c r="E209" s="41"/>
      <c r="F209" s="41"/>
      <c r="G209" s="55">
        <f t="shared" si="8"/>
        <v>15</v>
      </c>
      <c r="H209" s="24"/>
      <c r="I209" s="11"/>
      <c r="J209" s="11"/>
    </row>
    <row r="210" spans="1:10" ht="12">
      <c r="A210" s="20"/>
      <c r="B210" s="23" t="s">
        <v>111</v>
      </c>
      <c r="C210" s="51"/>
      <c r="D210" s="41">
        <v>10</v>
      </c>
      <c r="E210" s="41"/>
      <c r="F210" s="41"/>
      <c r="G210" s="55">
        <f t="shared" si="8"/>
        <v>10</v>
      </c>
      <c r="H210" s="24"/>
      <c r="I210" s="11"/>
      <c r="J210" s="11"/>
    </row>
    <row r="211" spans="1:10" ht="12">
      <c r="A211" s="20"/>
      <c r="B211" s="23" t="s">
        <v>149</v>
      </c>
      <c r="C211" s="51"/>
      <c r="D211" s="41">
        <v>10</v>
      </c>
      <c r="E211" s="41"/>
      <c r="F211" s="41"/>
      <c r="G211" s="55">
        <f t="shared" si="8"/>
        <v>10</v>
      </c>
      <c r="H211" s="24"/>
      <c r="I211" s="11"/>
      <c r="J211" s="11"/>
    </row>
    <row r="212" spans="1:10" ht="12">
      <c r="A212" s="25"/>
      <c r="B212" s="26" t="s">
        <v>35</v>
      </c>
      <c r="C212" s="52">
        <f>SUM(C205:C211)</f>
        <v>130</v>
      </c>
      <c r="D212" s="35">
        <f>SUM(D205:D211)</f>
        <v>140</v>
      </c>
      <c r="E212" s="35">
        <f>SUM(E205:E211)</f>
        <v>10</v>
      </c>
      <c r="F212" s="35">
        <f>SUM(F205:F211)</f>
        <v>0</v>
      </c>
      <c r="G212" s="56">
        <f>SUM(G204:G211)</f>
        <v>280</v>
      </c>
      <c r="H212" s="27">
        <v>235</v>
      </c>
      <c r="I212" s="11"/>
      <c r="J212" s="11"/>
    </row>
    <row r="213" spans="1:10" ht="12">
      <c r="A213" s="70"/>
      <c r="B213" s="31"/>
      <c r="C213" s="28"/>
      <c r="D213" s="28"/>
      <c r="E213" s="28"/>
      <c r="F213" s="28"/>
      <c r="G213" s="41"/>
      <c r="H213" s="32"/>
      <c r="I213" s="11"/>
      <c r="J213" s="11"/>
    </row>
    <row r="214" spans="1:10" ht="12">
      <c r="A214" s="20"/>
      <c r="B214" s="46"/>
      <c r="C214" s="49"/>
      <c r="D214" s="47"/>
      <c r="E214" s="47"/>
      <c r="F214" s="47"/>
      <c r="G214" s="53"/>
      <c r="H214" s="19" t="s">
        <v>31</v>
      </c>
      <c r="I214" s="11"/>
      <c r="J214" s="11"/>
    </row>
    <row r="215" spans="1:10" ht="12">
      <c r="A215" s="20" t="s">
        <v>67</v>
      </c>
      <c r="B215" s="21"/>
      <c r="C215" s="50"/>
      <c r="G215" s="54"/>
      <c r="H215" s="40">
        <v>2005</v>
      </c>
      <c r="I215" s="11"/>
      <c r="J215" s="11"/>
    </row>
    <row r="216" spans="1:10" ht="12">
      <c r="A216" s="10"/>
      <c r="B216" s="23" t="s">
        <v>34</v>
      </c>
      <c r="C216" s="50"/>
      <c r="D216" s="34"/>
      <c r="E216" s="34"/>
      <c r="F216" s="34"/>
      <c r="G216" s="55">
        <f>SUM(C216:F216)</f>
        <v>0</v>
      </c>
      <c r="H216" s="24"/>
      <c r="I216" s="11"/>
      <c r="J216" s="11"/>
    </row>
    <row r="217" spans="1:10" ht="12">
      <c r="A217" s="10"/>
      <c r="B217" s="23" t="s">
        <v>67</v>
      </c>
      <c r="C217" s="50">
        <v>40</v>
      </c>
      <c r="D217" s="34"/>
      <c r="E217" s="34"/>
      <c r="F217" s="34"/>
      <c r="G217" s="55">
        <f>SUM(C217:F217)</f>
        <v>40</v>
      </c>
      <c r="H217" s="24"/>
      <c r="I217" s="11"/>
      <c r="J217" s="11"/>
    </row>
    <row r="218" spans="1:10" ht="12">
      <c r="A218" s="25"/>
      <c r="B218" s="26" t="s">
        <v>35</v>
      </c>
      <c r="C218" s="52">
        <f>SUM(C216:C217)</f>
        <v>40</v>
      </c>
      <c r="D218" s="35">
        <f>SUM(D216:D217)</f>
        <v>0</v>
      </c>
      <c r="E218" s="35">
        <f>SUM(E216:E217)</f>
        <v>0</v>
      </c>
      <c r="F218" s="35">
        <f>SUM(F216:F217)</f>
        <v>0</v>
      </c>
      <c r="G218" s="52">
        <f>SUM(G216:G217)</f>
        <v>40</v>
      </c>
      <c r="H218" s="27">
        <v>27</v>
      </c>
      <c r="I218" s="11"/>
      <c r="J218" s="11"/>
    </row>
    <row r="219" spans="1:10" ht="12">
      <c r="A219" s="70"/>
      <c r="B219" s="31"/>
      <c r="C219" s="28"/>
      <c r="D219" s="28"/>
      <c r="E219" s="28"/>
      <c r="F219" s="28"/>
      <c r="G219" s="41"/>
      <c r="H219" s="32"/>
      <c r="I219" s="11"/>
      <c r="J219" s="11"/>
    </row>
    <row r="220" spans="1:10" ht="12">
      <c r="A220" s="20"/>
      <c r="B220" s="46"/>
      <c r="C220" s="49"/>
      <c r="D220" s="47"/>
      <c r="E220" s="47"/>
      <c r="F220" s="47"/>
      <c r="G220" s="53"/>
      <c r="H220" s="19" t="s">
        <v>31</v>
      </c>
      <c r="I220" s="11"/>
      <c r="J220" s="11"/>
    </row>
    <row r="221" spans="1:10" ht="12">
      <c r="A221" s="20" t="s">
        <v>64</v>
      </c>
      <c r="B221" s="21"/>
      <c r="C221" s="50"/>
      <c r="G221" s="54"/>
      <c r="H221" s="40">
        <v>2005</v>
      </c>
      <c r="I221" s="11"/>
      <c r="J221" s="11"/>
    </row>
    <row r="222" spans="1:10" ht="12">
      <c r="A222" s="10"/>
      <c r="B222" s="23" t="s">
        <v>34</v>
      </c>
      <c r="C222" s="50"/>
      <c r="D222" s="34"/>
      <c r="E222" s="34"/>
      <c r="F222" s="34"/>
      <c r="G222" s="55">
        <f>SUM(C222:F222)</f>
        <v>0</v>
      </c>
      <c r="H222" s="24"/>
      <c r="I222" s="11"/>
      <c r="J222" s="11"/>
    </row>
    <row r="223" spans="1:10" ht="12">
      <c r="A223" s="10"/>
      <c r="B223" s="23" t="s">
        <v>64</v>
      </c>
      <c r="C223" s="50">
        <v>20</v>
      </c>
      <c r="D223" s="34"/>
      <c r="E223" s="34"/>
      <c r="F223" s="34"/>
      <c r="G223" s="55">
        <f>SUM(C223:F223)</f>
        <v>20</v>
      </c>
      <c r="H223" s="24"/>
      <c r="I223" s="11"/>
      <c r="J223" s="11"/>
    </row>
    <row r="224" spans="1:10" ht="12">
      <c r="A224" s="25"/>
      <c r="B224" s="26" t="s">
        <v>35</v>
      </c>
      <c r="C224" s="52">
        <f>SUM(C222:C223)</f>
        <v>20</v>
      </c>
      <c r="D224" s="35">
        <f>SUM(D222:D223)</f>
        <v>0</v>
      </c>
      <c r="E224" s="35">
        <f>SUM(E222:E223)</f>
        <v>0</v>
      </c>
      <c r="F224" s="35">
        <f>SUM(F222:F223)</f>
        <v>0</v>
      </c>
      <c r="G224" s="52">
        <f>SUM(G222:G223)</f>
        <v>20</v>
      </c>
      <c r="H224" s="27">
        <v>25</v>
      </c>
      <c r="I224" s="11"/>
      <c r="J224" s="11"/>
    </row>
    <row r="225" spans="1:10" ht="12">
      <c r="A225" s="70"/>
      <c r="B225" s="31"/>
      <c r="C225" s="28"/>
      <c r="D225" s="28"/>
      <c r="E225" s="28"/>
      <c r="F225" s="28"/>
      <c r="G225" s="41"/>
      <c r="H225" s="32"/>
      <c r="I225" s="11"/>
      <c r="J225" s="11"/>
    </row>
    <row r="226" spans="1:10" ht="12">
      <c r="A226" s="20"/>
      <c r="B226" s="46"/>
      <c r="C226" s="49"/>
      <c r="D226" s="47"/>
      <c r="E226" s="47"/>
      <c r="F226" s="47"/>
      <c r="G226" s="53"/>
      <c r="H226" s="19" t="s">
        <v>31</v>
      </c>
      <c r="I226" s="11"/>
      <c r="J226" s="11"/>
    </row>
    <row r="227" spans="1:10" ht="12">
      <c r="A227" s="20" t="s">
        <v>200</v>
      </c>
      <c r="B227" s="21"/>
      <c r="C227" s="50"/>
      <c r="G227" s="54"/>
      <c r="H227" s="40">
        <v>2005</v>
      </c>
      <c r="I227" s="11"/>
      <c r="J227" s="11"/>
    </row>
    <row r="228" spans="1:10" ht="12">
      <c r="A228" s="10"/>
      <c r="B228" s="23" t="s">
        <v>34</v>
      </c>
      <c r="C228" s="50"/>
      <c r="D228" s="34"/>
      <c r="E228" s="34"/>
      <c r="F228" s="34"/>
      <c r="G228" s="55">
        <f>SUM(C228:F228)</f>
        <v>0</v>
      </c>
      <c r="H228" s="24"/>
      <c r="I228" s="11"/>
      <c r="J228" s="11"/>
    </row>
    <row r="229" spans="1:10" ht="12">
      <c r="A229" s="10"/>
      <c r="B229" s="23" t="s">
        <v>201</v>
      </c>
      <c r="C229" s="50"/>
      <c r="D229" s="34">
        <v>10</v>
      </c>
      <c r="E229" s="34">
        <v>10</v>
      </c>
      <c r="F229" s="34"/>
      <c r="G229" s="55">
        <f>SUM(C229:F229)</f>
        <v>20</v>
      </c>
      <c r="H229" s="24"/>
      <c r="I229" s="11"/>
      <c r="J229" s="11"/>
    </row>
    <row r="230" spans="1:10" ht="12">
      <c r="A230" s="22"/>
      <c r="B230" s="23" t="s">
        <v>60</v>
      </c>
      <c r="C230" s="51"/>
      <c r="D230" s="41">
        <v>25</v>
      </c>
      <c r="E230" s="41"/>
      <c r="F230" s="41"/>
      <c r="G230" s="55">
        <f>SUM(C230:F230)</f>
        <v>25</v>
      </c>
      <c r="H230" s="24"/>
      <c r="I230" s="11"/>
      <c r="J230" s="11"/>
    </row>
    <row r="231" spans="1:10" ht="12">
      <c r="A231" s="25"/>
      <c r="B231" s="26" t="s">
        <v>35</v>
      </c>
      <c r="C231" s="52">
        <f>SUM(C228:C230)</f>
        <v>0</v>
      </c>
      <c r="D231" s="35">
        <f>SUM(D228:D230)</f>
        <v>35</v>
      </c>
      <c r="E231" s="35">
        <f>SUM(E228:E230)</f>
        <v>10</v>
      </c>
      <c r="F231" s="35">
        <f>SUM(F228:F230)</f>
        <v>0</v>
      </c>
      <c r="G231" s="52">
        <f>SUM(G228:G230)</f>
        <v>45</v>
      </c>
      <c r="H231" s="27">
        <v>40</v>
      </c>
      <c r="I231" s="11"/>
      <c r="J231" s="11"/>
    </row>
    <row r="232" spans="1:10" ht="12">
      <c r="A232" s="30"/>
      <c r="B232" s="31"/>
      <c r="C232" s="28"/>
      <c r="D232" s="28"/>
      <c r="E232" s="28"/>
      <c r="F232" s="28"/>
      <c r="G232" s="41"/>
      <c r="H232" s="32"/>
      <c r="I232" s="11"/>
      <c r="J232" s="11"/>
    </row>
    <row r="233" spans="1:10" ht="15.75">
      <c r="A233" s="38" t="s">
        <v>53</v>
      </c>
      <c r="B233" s="31"/>
      <c r="C233" s="28"/>
      <c r="D233" s="28"/>
      <c r="E233" s="28"/>
      <c r="F233" s="28"/>
      <c r="G233" s="41"/>
      <c r="H233" s="32"/>
      <c r="I233" s="11"/>
      <c r="J233" s="11"/>
    </row>
    <row r="234" spans="1:10" ht="12">
      <c r="A234" s="20"/>
      <c r="B234" s="46"/>
      <c r="C234" s="49"/>
      <c r="D234" s="47"/>
      <c r="E234" s="47"/>
      <c r="F234" s="47"/>
      <c r="G234" s="53"/>
      <c r="H234" s="19" t="s">
        <v>31</v>
      </c>
      <c r="I234" s="11"/>
      <c r="J234" s="11"/>
    </row>
    <row r="235" spans="1:10" ht="12">
      <c r="A235" s="20" t="s">
        <v>202</v>
      </c>
      <c r="B235" s="21"/>
      <c r="C235" s="50"/>
      <c r="G235" s="54"/>
      <c r="H235" s="40">
        <v>2005</v>
      </c>
      <c r="I235" s="11"/>
      <c r="J235" s="11"/>
    </row>
    <row r="236" spans="1:10" ht="12">
      <c r="A236" s="10"/>
      <c r="B236" s="23" t="s">
        <v>34</v>
      </c>
      <c r="C236" s="50"/>
      <c r="D236" s="34"/>
      <c r="E236" s="34"/>
      <c r="F236" s="34"/>
      <c r="G236" s="55">
        <f aca="true" t="shared" si="9" ref="G236:G245">SUM(C236:F236)</f>
        <v>0</v>
      </c>
      <c r="H236" s="24"/>
      <c r="I236" s="11"/>
      <c r="J236" s="11"/>
    </row>
    <row r="237" spans="1:10" ht="12">
      <c r="A237" s="10"/>
      <c r="B237" s="23" t="s">
        <v>18</v>
      </c>
      <c r="C237" s="50">
        <v>150</v>
      </c>
      <c r="D237" s="34"/>
      <c r="E237" s="34"/>
      <c r="F237" s="34"/>
      <c r="G237" s="55">
        <f t="shared" si="9"/>
        <v>150</v>
      </c>
      <c r="H237" s="24"/>
      <c r="I237" s="11"/>
      <c r="J237" s="11"/>
    </row>
    <row r="238" spans="1:10" ht="12">
      <c r="A238" s="10"/>
      <c r="B238" s="23" t="s">
        <v>133</v>
      </c>
      <c r="C238" s="50"/>
      <c r="D238" s="34">
        <v>125</v>
      </c>
      <c r="E238" s="34"/>
      <c r="F238" s="34"/>
      <c r="G238" s="55">
        <f t="shared" si="9"/>
        <v>125</v>
      </c>
      <c r="H238" s="24"/>
      <c r="I238" s="11"/>
      <c r="J238" s="11"/>
    </row>
    <row r="239" spans="1:10" ht="12">
      <c r="A239" s="10"/>
      <c r="B239" s="23" t="s">
        <v>134</v>
      </c>
      <c r="C239" s="50"/>
      <c r="D239" s="34">
        <v>265</v>
      </c>
      <c r="E239" s="34"/>
      <c r="F239" s="34"/>
      <c r="G239" s="55">
        <f t="shared" si="9"/>
        <v>265</v>
      </c>
      <c r="H239" s="24"/>
      <c r="I239" s="11"/>
      <c r="J239" s="11"/>
    </row>
    <row r="240" spans="1:10" ht="12">
      <c r="A240" s="10"/>
      <c r="B240" s="23" t="s">
        <v>135</v>
      </c>
      <c r="C240" s="50"/>
      <c r="D240" s="34">
        <v>385</v>
      </c>
      <c r="E240" s="34"/>
      <c r="F240" s="34"/>
      <c r="G240" s="55">
        <f t="shared" si="9"/>
        <v>385</v>
      </c>
      <c r="H240" s="24"/>
      <c r="I240" s="11"/>
      <c r="J240" s="11"/>
    </row>
    <row r="241" spans="1:10" ht="12">
      <c r="A241" s="10"/>
      <c r="B241" s="23" t="s">
        <v>136</v>
      </c>
      <c r="C241" s="50"/>
      <c r="D241" s="34">
        <v>125</v>
      </c>
      <c r="E241" s="34"/>
      <c r="F241" s="34"/>
      <c r="G241" s="55">
        <f t="shared" si="9"/>
        <v>125</v>
      </c>
      <c r="H241" s="24"/>
      <c r="I241" s="11"/>
      <c r="J241" s="11"/>
    </row>
    <row r="242" spans="1:10" ht="12">
      <c r="A242" s="10"/>
      <c r="B242" s="23" t="s">
        <v>19</v>
      </c>
      <c r="C242" s="50"/>
      <c r="D242" s="34">
        <v>300</v>
      </c>
      <c r="E242" s="34"/>
      <c r="F242" s="34"/>
      <c r="G242" s="55">
        <f t="shared" si="9"/>
        <v>300</v>
      </c>
      <c r="H242" s="24"/>
      <c r="I242" s="11"/>
      <c r="J242" s="11"/>
    </row>
    <row r="243" spans="1:10" ht="12">
      <c r="A243" s="10"/>
      <c r="B243" s="23" t="s">
        <v>137</v>
      </c>
      <c r="C243" s="50"/>
      <c r="D243" s="34">
        <v>350</v>
      </c>
      <c r="E243" s="34"/>
      <c r="F243" s="34"/>
      <c r="G243" s="55">
        <f t="shared" si="9"/>
        <v>350</v>
      </c>
      <c r="H243" s="24"/>
      <c r="I243" s="11"/>
      <c r="J243" s="11"/>
    </row>
    <row r="244" spans="1:10" ht="12">
      <c r="A244" s="10"/>
      <c r="B244" s="23" t="s">
        <v>100</v>
      </c>
      <c r="C244" s="50">
        <v>216</v>
      </c>
      <c r="D244" s="34"/>
      <c r="E244" s="34"/>
      <c r="F244" s="34"/>
      <c r="G244" s="55">
        <f t="shared" si="9"/>
        <v>216</v>
      </c>
      <c r="H244" s="24"/>
      <c r="I244" s="11"/>
      <c r="J244" s="11"/>
    </row>
    <row r="245" spans="1:10" ht="12">
      <c r="A245" s="10"/>
      <c r="B245" s="23" t="s">
        <v>26</v>
      </c>
      <c r="C245" s="50"/>
      <c r="D245" s="34">
        <v>200</v>
      </c>
      <c r="E245" s="34">
        <v>30</v>
      </c>
      <c r="F245" s="34"/>
      <c r="G245" s="55">
        <f t="shared" si="9"/>
        <v>230</v>
      </c>
      <c r="H245" s="24"/>
      <c r="I245" s="1"/>
      <c r="J245" s="11"/>
    </row>
    <row r="246" spans="1:9" ht="12">
      <c r="A246" s="25"/>
      <c r="B246" s="26" t="s">
        <v>35</v>
      </c>
      <c r="C246" s="52">
        <f>C236+C237+C238+C239+C240+C241+C242+C243+C244+C245</f>
        <v>366</v>
      </c>
      <c r="D246" s="35">
        <f>D236+D237+D238+D239+D240+D241+D242+D243+D244+D245</f>
        <v>1750</v>
      </c>
      <c r="E246" s="35">
        <f>SUM(E244:E245)</f>
        <v>30</v>
      </c>
      <c r="F246" s="35">
        <f>SUM(F244:F245)</f>
        <v>0</v>
      </c>
      <c r="G246" s="56">
        <f>SUM(G236:G245)</f>
        <v>2146</v>
      </c>
      <c r="H246" s="27">
        <v>2615</v>
      </c>
      <c r="I246" s="1"/>
    </row>
    <row r="247" spans="1:9" ht="12">
      <c r="A247" s="70"/>
      <c r="B247" s="31"/>
      <c r="C247" s="28"/>
      <c r="D247" s="28"/>
      <c r="E247" s="28"/>
      <c r="F247" s="28"/>
      <c r="G247" s="41"/>
      <c r="H247" s="32"/>
      <c r="I247" s="1"/>
    </row>
    <row r="248" spans="1:9" ht="12">
      <c r="A248" s="20"/>
      <c r="B248" s="46"/>
      <c r="C248" s="49"/>
      <c r="D248" s="47"/>
      <c r="E248" s="47"/>
      <c r="F248" s="47"/>
      <c r="G248" s="53"/>
      <c r="H248" s="19" t="s">
        <v>31</v>
      </c>
      <c r="I248" s="1"/>
    </row>
    <row r="249" spans="1:9" ht="12">
      <c r="A249" s="20" t="s">
        <v>234</v>
      </c>
      <c r="B249" s="21"/>
      <c r="C249" s="50"/>
      <c r="G249" s="54"/>
      <c r="H249" s="40">
        <v>2005</v>
      </c>
      <c r="I249" s="1"/>
    </row>
    <row r="250" spans="1:9" ht="12">
      <c r="A250" s="10"/>
      <c r="B250" s="23" t="s">
        <v>34</v>
      </c>
      <c r="C250" s="50"/>
      <c r="D250" s="34"/>
      <c r="E250" s="34"/>
      <c r="F250" s="34"/>
      <c r="G250" s="55">
        <f>SUM(C250:F250)</f>
        <v>0</v>
      </c>
      <c r="H250" s="24"/>
      <c r="I250" s="1"/>
    </row>
    <row r="251" spans="1:9" ht="12">
      <c r="A251" s="10"/>
      <c r="B251" s="23" t="s">
        <v>205</v>
      </c>
      <c r="C251" s="50">
        <v>850</v>
      </c>
      <c r="D251" s="34"/>
      <c r="E251" s="34"/>
      <c r="F251" s="34"/>
      <c r="G251" s="55">
        <f aca="true" t="shared" si="10" ref="G251:G276">SUM(C251:F251)</f>
        <v>850</v>
      </c>
      <c r="H251" s="24"/>
      <c r="I251" s="1"/>
    </row>
    <row r="252" spans="1:9" ht="12">
      <c r="A252" s="10"/>
      <c r="B252" s="23" t="s">
        <v>103</v>
      </c>
      <c r="C252" s="50"/>
      <c r="D252" s="34">
        <v>300</v>
      </c>
      <c r="E252" s="34"/>
      <c r="F252" s="34"/>
      <c r="G252" s="55">
        <f t="shared" si="10"/>
        <v>300</v>
      </c>
      <c r="H252" s="24"/>
      <c r="I252" s="1"/>
    </row>
    <row r="253" spans="1:9" ht="12">
      <c r="A253" s="10"/>
      <c r="B253" s="23" t="s">
        <v>104</v>
      </c>
      <c r="C253" s="50"/>
      <c r="D253" s="34">
        <v>55</v>
      </c>
      <c r="E253" s="34"/>
      <c r="F253" s="34"/>
      <c r="G253" s="55">
        <f t="shared" si="10"/>
        <v>55</v>
      </c>
      <c r="H253" s="24"/>
      <c r="I253" s="1"/>
    </row>
    <row r="254" spans="1:9" ht="12">
      <c r="A254" s="10"/>
      <c r="B254" s="23" t="s">
        <v>105</v>
      </c>
      <c r="C254" s="50"/>
      <c r="D254" s="34">
        <v>300</v>
      </c>
      <c r="E254" s="34"/>
      <c r="F254" s="34"/>
      <c r="G254" s="55">
        <f t="shared" si="10"/>
        <v>300</v>
      </c>
      <c r="H254" s="24"/>
      <c r="I254" s="1"/>
    </row>
    <row r="255" spans="1:9" ht="12">
      <c r="A255" s="10"/>
      <c r="B255" s="23" t="s">
        <v>106</v>
      </c>
      <c r="C255" s="50"/>
      <c r="D255" s="34">
        <v>5</v>
      </c>
      <c r="E255" s="34"/>
      <c r="F255" s="34"/>
      <c r="G255" s="55">
        <f t="shared" si="10"/>
        <v>5</v>
      </c>
      <c r="H255" s="24"/>
      <c r="I255" s="1"/>
    </row>
    <row r="256" spans="1:9" ht="12">
      <c r="A256" s="10"/>
      <c r="B256" s="23" t="s">
        <v>107</v>
      </c>
      <c r="C256" s="50"/>
      <c r="D256" s="34">
        <v>5</v>
      </c>
      <c r="E256" s="34"/>
      <c r="F256" s="34"/>
      <c r="G256" s="55">
        <f t="shared" si="10"/>
        <v>5</v>
      </c>
      <c r="H256" s="24"/>
      <c r="I256" s="1"/>
    </row>
    <row r="257" spans="1:9" ht="12">
      <c r="A257" s="10"/>
      <c r="B257" s="23" t="s">
        <v>138</v>
      </c>
      <c r="C257" s="50"/>
      <c r="D257" s="34">
        <v>150</v>
      </c>
      <c r="E257" s="34">
        <v>50</v>
      </c>
      <c r="F257" s="34"/>
      <c r="G257" s="55">
        <f t="shared" si="10"/>
        <v>200</v>
      </c>
      <c r="H257" s="24"/>
      <c r="I257" s="1"/>
    </row>
    <row r="258" spans="1:9" ht="12">
      <c r="A258" s="10"/>
      <c r="B258" s="23" t="s">
        <v>206</v>
      </c>
      <c r="C258" s="50"/>
      <c r="D258" s="34">
        <v>200</v>
      </c>
      <c r="E258" s="34"/>
      <c r="F258" s="34"/>
      <c r="G258" s="55">
        <f t="shared" si="10"/>
        <v>200</v>
      </c>
      <c r="H258" s="24"/>
      <c r="I258" s="1"/>
    </row>
    <row r="259" spans="1:9" ht="14.25" customHeight="1">
      <c r="A259" s="10"/>
      <c r="B259" s="23" t="s">
        <v>139</v>
      </c>
      <c r="C259" s="50"/>
      <c r="D259" s="34">
        <v>10</v>
      </c>
      <c r="E259" s="34"/>
      <c r="F259" s="34"/>
      <c r="G259" s="55">
        <f t="shared" si="10"/>
        <v>10</v>
      </c>
      <c r="H259" s="24"/>
      <c r="I259" s="1"/>
    </row>
    <row r="260" spans="1:9" ht="14.25" customHeight="1">
      <c r="A260" s="10"/>
      <c r="B260" s="23" t="s">
        <v>54</v>
      </c>
      <c r="C260" s="50"/>
      <c r="D260" s="34">
        <v>15</v>
      </c>
      <c r="E260" s="34"/>
      <c r="F260" s="34"/>
      <c r="G260" s="55">
        <f t="shared" si="10"/>
        <v>15</v>
      </c>
      <c r="H260" s="24"/>
      <c r="I260" s="1"/>
    </row>
    <row r="261" spans="1:9" ht="14.25" customHeight="1">
      <c r="A261" s="10"/>
      <c r="B261" s="23" t="s">
        <v>140</v>
      </c>
      <c r="C261" s="50">
        <v>100</v>
      </c>
      <c r="D261" s="34"/>
      <c r="E261" s="34"/>
      <c r="F261" s="34"/>
      <c r="G261" s="55">
        <f t="shared" si="10"/>
        <v>100</v>
      </c>
      <c r="H261" s="24"/>
      <c r="I261" s="1"/>
    </row>
    <row r="262" spans="1:9" ht="14.25" customHeight="1">
      <c r="A262" s="10"/>
      <c r="B262" s="23" t="s">
        <v>141</v>
      </c>
      <c r="C262" s="50"/>
      <c r="D262" s="34">
        <v>60</v>
      </c>
      <c r="E262" s="34"/>
      <c r="F262" s="34"/>
      <c r="G262" s="55">
        <f t="shared" si="10"/>
        <v>60</v>
      </c>
      <c r="H262" s="24"/>
      <c r="I262" s="1"/>
    </row>
    <row r="263" spans="1:9" ht="14.25" customHeight="1">
      <c r="A263" s="10"/>
      <c r="B263" s="23" t="s">
        <v>55</v>
      </c>
      <c r="C263" s="50"/>
      <c r="D263" s="34">
        <v>80</v>
      </c>
      <c r="E263" s="34"/>
      <c r="F263" s="34"/>
      <c r="G263" s="55">
        <f t="shared" si="10"/>
        <v>80</v>
      </c>
      <c r="H263" s="24"/>
      <c r="I263" s="1"/>
    </row>
    <row r="264" spans="1:9" ht="14.25" customHeight="1">
      <c r="A264" s="10"/>
      <c r="B264" s="23" t="s">
        <v>142</v>
      </c>
      <c r="C264" s="50"/>
      <c r="D264" s="34">
        <v>25</v>
      </c>
      <c r="E264" s="34">
        <v>25</v>
      </c>
      <c r="F264" s="34"/>
      <c r="G264" s="55">
        <f t="shared" si="10"/>
        <v>50</v>
      </c>
      <c r="H264" s="24"/>
      <c r="I264" s="1"/>
    </row>
    <row r="265" spans="1:9" ht="14.25" customHeight="1">
      <c r="A265" s="10"/>
      <c r="B265" s="23" t="s">
        <v>143</v>
      </c>
      <c r="C265" s="50"/>
      <c r="D265" s="34">
        <v>15</v>
      </c>
      <c r="E265" s="34"/>
      <c r="F265" s="34"/>
      <c r="G265" s="55">
        <f t="shared" si="10"/>
        <v>15</v>
      </c>
      <c r="H265" s="24"/>
      <c r="I265" s="1"/>
    </row>
    <row r="266" spans="1:9" ht="12">
      <c r="A266" s="10"/>
      <c r="B266" s="23" t="s">
        <v>114</v>
      </c>
      <c r="C266" s="50"/>
      <c r="D266" s="34">
        <v>100</v>
      </c>
      <c r="E266" s="34"/>
      <c r="F266" s="34"/>
      <c r="G266" s="55">
        <f t="shared" si="10"/>
        <v>100</v>
      </c>
      <c r="H266" s="24"/>
      <c r="I266" s="1"/>
    </row>
    <row r="267" spans="1:9" ht="12">
      <c r="A267" s="10"/>
      <c r="B267" s="23" t="s">
        <v>144</v>
      </c>
      <c r="C267" s="50"/>
      <c r="D267" s="34">
        <v>40</v>
      </c>
      <c r="E267" s="34">
        <v>10</v>
      </c>
      <c r="F267" s="34"/>
      <c r="G267" s="55">
        <f t="shared" si="10"/>
        <v>50</v>
      </c>
      <c r="H267" s="24"/>
      <c r="I267" s="1"/>
    </row>
    <row r="268" spans="1:9" ht="12">
      <c r="A268" s="10"/>
      <c r="B268" s="23" t="s">
        <v>108</v>
      </c>
      <c r="C268" s="50"/>
      <c r="D268" s="34">
        <v>3</v>
      </c>
      <c r="E268" s="34"/>
      <c r="F268" s="34"/>
      <c r="G268" s="55">
        <f t="shared" si="10"/>
        <v>3</v>
      </c>
      <c r="H268" s="24"/>
      <c r="I268" s="1"/>
    </row>
    <row r="269" spans="1:9" ht="12">
      <c r="A269" s="10"/>
      <c r="B269" s="23" t="s">
        <v>92</v>
      </c>
      <c r="C269" s="50"/>
      <c r="D269" s="34">
        <v>480</v>
      </c>
      <c r="E269" s="34"/>
      <c r="F269" s="34"/>
      <c r="G269" s="55">
        <f t="shared" si="10"/>
        <v>480</v>
      </c>
      <c r="H269" s="24"/>
      <c r="I269" s="1"/>
    </row>
    <row r="270" spans="1:9" ht="12">
      <c r="A270" s="10"/>
      <c r="B270" s="23" t="s">
        <v>56</v>
      </c>
      <c r="C270" s="50"/>
      <c r="D270" s="34">
        <v>40</v>
      </c>
      <c r="E270" s="34"/>
      <c r="F270" s="34"/>
      <c r="G270" s="55">
        <f t="shared" si="10"/>
        <v>40</v>
      </c>
      <c r="H270" s="24"/>
      <c r="I270" s="1"/>
    </row>
    <row r="271" spans="1:9" ht="12">
      <c r="A271" s="10"/>
      <c r="B271" s="23" t="s">
        <v>145</v>
      </c>
      <c r="C271" s="50"/>
      <c r="D271" s="34">
        <v>20</v>
      </c>
      <c r="E271" s="34"/>
      <c r="F271" s="34"/>
      <c r="G271" s="55">
        <f t="shared" si="10"/>
        <v>20</v>
      </c>
      <c r="H271" s="24"/>
      <c r="I271" s="1"/>
    </row>
    <row r="272" spans="1:9" ht="12">
      <c r="A272" s="10"/>
      <c r="B272" s="23" t="s">
        <v>146</v>
      </c>
      <c r="C272" s="50"/>
      <c r="D272" s="34">
        <f>3000+1190</f>
        <v>4190</v>
      </c>
      <c r="E272" s="34"/>
      <c r="F272" s="34"/>
      <c r="G272" s="55">
        <f t="shared" si="10"/>
        <v>4190</v>
      </c>
      <c r="H272" s="24"/>
      <c r="I272" s="1"/>
    </row>
    <row r="273" spans="1:9" ht="12">
      <c r="A273" s="10"/>
      <c r="B273" s="23" t="s">
        <v>203</v>
      </c>
      <c r="C273" s="50"/>
      <c r="D273" s="34">
        <v>80</v>
      </c>
      <c r="E273" s="34">
        <v>20</v>
      </c>
      <c r="F273" s="34"/>
      <c r="G273" s="55">
        <f t="shared" si="10"/>
        <v>100</v>
      </c>
      <c r="H273" s="24"/>
      <c r="I273" s="1" t="s">
        <v>377</v>
      </c>
    </row>
    <row r="274" spans="1:9" ht="12">
      <c r="A274" s="10"/>
      <c r="B274" s="23" t="s">
        <v>204</v>
      </c>
      <c r="C274" s="50"/>
      <c r="D274" s="34">
        <v>190</v>
      </c>
      <c r="E274" s="34"/>
      <c r="F274" s="34"/>
      <c r="G274" s="55">
        <f t="shared" si="10"/>
        <v>190</v>
      </c>
      <c r="H274" s="24"/>
      <c r="I274" s="1" t="s">
        <v>377</v>
      </c>
    </row>
    <row r="275" spans="1:9" ht="12">
      <c r="A275" s="10"/>
      <c r="B275" s="23" t="s">
        <v>147</v>
      </c>
      <c r="C275" s="50"/>
      <c r="D275" s="34">
        <v>10</v>
      </c>
      <c r="E275" s="34"/>
      <c r="F275" s="34"/>
      <c r="G275" s="55">
        <f t="shared" si="10"/>
        <v>10</v>
      </c>
      <c r="H275" s="24"/>
      <c r="I275" s="1"/>
    </row>
    <row r="276" spans="1:9" ht="15" customHeight="1">
      <c r="A276" s="25"/>
      <c r="B276" s="26" t="s">
        <v>35</v>
      </c>
      <c r="C276" s="52">
        <f>SUM(C251:C275)</f>
        <v>950</v>
      </c>
      <c r="D276" s="35">
        <f>SUM(D250:D275)</f>
        <v>6373</v>
      </c>
      <c r="E276" s="35">
        <f>SUM(E250:E275)</f>
        <v>105</v>
      </c>
      <c r="F276" s="35">
        <f>SUM(F250:F275)</f>
        <v>0</v>
      </c>
      <c r="G276" s="56">
        <f t="shared" si="10"/>
        <v>7428</v>
      </c>
      <c r="H276" s="27">
        <v>4483</v>
      </c>
      <c r="I276" s="1"/>
    </row>
    <row r="277" spans="1:9" ht="12">
      <c r="A277" s="70"/>
      <c r="B277" s="31"/>
      <c r="C277" s="28"/>
      <c r="D277" s="28"/>
      <c r="E277" s="28"/>
      <c r="F277" s="28"/>
      <c r="G277" s="41"/>
      <c r="H277" s="32"/>
      <c r="I277" s="1"/>
    </row>
    <row r="278" spans="1:10" ht="12">
      <c r="A278" s="20"/>
      <c r="B278" s="46"/>
      <c r="C278" s="49"/>
      <c r="D278" s="47"/>
      <c r="E278" s="47"/>
      <c r="F278" s="47"/>
      <c r="G278" s="53"/>
      <c r="H278" s="19" t="s">
        <v>31</v>
      </c>
      <c r="I278" s="1"/>
      <c r="J278" s="8"/>
    </row>
    <row r="279" spans="1:10" ht="12">
      <c r="A279" s="20" t="s">
        <v>58</v>
      </c>
      <c r="B279" s="21"/>
      <c r="C279" s="50"/>
      <c r="G279" s="54"/>
      <c r="H279" s="40">
        <v>2005</v>
      </c>
      <c r="I279" s="1"/>
      <c r="J279" s="11"/>
    </row>
    <row r="280" spans="1:10" ht="12">
      <c r="A280" s="10"/>
      <c r="B280" s="23" t="s">
        <v>34</v>
      </c>
      <c r="C280" s="50"/>
      <c r="D280" s="34">
        <v>70</v>
      </c>
      <c r="E280" s="34">
        <v>20</v>
      </c>
      <c r="F280" s="34"/>
      <c r="G280" s="55">
        <f>SUM(C280:F280)</f>
        <v>90</v>
      </c>
      <c r="H280" s="24"/>
      <c r="I280" s="1"/>
      <c r="J280" s="11"/>
    </row>
    <row r="281" spans="1:10" ht="12">
      <c r="A281" s="25"/>
      <c r="B281" s="26" t="s">
        <v>35</v>
      </c>
      <c r="C281" s="52">
        <f>SUM(C280:C280)</f>
        <v>0</v>
      </c>
      <c r="D281" s="35">
        <f>SUM(D280:D280)</f>
        <v>70</v>
      </c>
      <c r="E281" s="35">
        <f>SUM(E280:E280)</f>
        <v>20</v>
      </c>
      <c r="F281" s="35">
        <f>SUM(F280:F280)</f>
        <v>0</v>
      </c>
      <c r="G281" s="52">
        <f>SUM(G280:G280)</f>
        <v>90</v>
      </c>
      <c r="H281" s="27">
        <v>50</v>
      </c>
      <c r="I281" s="1"/>
      <c r="J281" s="11"/>
    </row>
    <row r="282" spans="1:10" ht="12">
      <c r="A282" s="70"/>
      <c r="B282" s="31"/>
      <c r="C282" s="28"/>
      <c r="D282" s="28"/>
      <c r="E282" s="28"/>
      <c r="F282" s="28"/>
      <c r="G282" s="41"/>
      <c r="H282" s="32"/>
      <c r="I282" s="1"/>
      <c r="J282" s="11"/>
    </row>
    <row r="283" spans="1:10" ht="12">
      <c r="A283" s="20"/>
      <c r="B283" s="46"/>
      <c r="C283" s="49"/>
      <c r="D283" s="47"/>
      <c r="E283" s="47"/>
      <c r="F283" s="47"/>
      <c r="G283" s="53"/>
      <c r="H283" s="19" t="s">
        <v>31</v>
      </c>
      <c r="I283" s="1"/>
      <c r="J283" s="11"/>
    </row>
    <row r="284" spans="1:10" ht="12">
      <c r="A284" s="20" t="s">
        <v>11</v>
      </c>
      <c r="B284" s="21"/>
      <c r="C284" s="50"/>
      <c r="G284" s="54"/>
      <c r="H284" s="40">
        <v>2005</v>
      </c>
      <c r="I284" s="1"/>
      <c r="J284" s="11"/>
    </row>
    <row r="285" spans="1:10" ht="12">
      <c r="A285" s="10"/>
      <c r="B285" s="23" t="s">
        <v>34</v>
      </c>
      <c r="C285" s="50"/>
      <c r="D285" s="34"/>
      <c r="E285" s="34"/>
      <c r="F285" s="34"/>
      <c r="G285" s="55">
        <f>SUM(C285:F285)</f>
        <v>0</v>
      </c>
      <c r="H285" s="24"/>
      <c r="I285" s="1"/>
      <c r="J285" s="11"/>
    </row>
    <row r="286" spans="1:10" ht="12">
      <c r="A286" s="10"/>
      <c r="B286" s="23" t="s">
        <v>57</v>
      </c>
      <c r="C286" s="50"/>
      <c r="D286" s="34"/>
      <c r="E286" s="34">
        <v>15</v>
      </c>
      <c r="F286" s="34"/>
      <c r="G286" s="55">
        <f>SUM(C286:F286)</f>
        <v>15</v>
      </c>
      <c r="H286" s="24"/>
      <c r="I286" s="1"/>
      <c r="J286" s="11"/>
    </row>
    <row r="287" spans="1:10" ht="12">
      <c r="A287" s="22"/>
      <c r="B287" s="23" t="s">
        <v>148</v>
      </c>
      <c r="C287" s="51"/>
      <c r="D287" s="41">
        <v>50</v>
      </c>
      <c r="E287" s="41"/>
      <c r="F287" s="41"/>
      <c r="G287" s="55">
        <f>SUM(C287:F287)</f>
        <v>50</v>
      </c>
      <c r="H287" s="24"/>
      <c r="I287" s="1"/>
      <c r="J287" s="11"/>
    </row>
    <row r="288" spans="1:10" ht="12">
      <c r="A288" s="25"/>
      <c r="B288" s="26" t="s">
        <v>35</v>
      </c>
      <c r="C288" s="52">
        <f>SUM(C285:C287)</f>
        <v>0</v>
      </c>
      <c r="D288" s="35">
        <f>SUM(D285:D287)</f>
        <v>50</v>
      </c>
      <c r="E288" s="35">
        <f>SUM(E285:E287)</f>
        <v>15</v>
      </c>
      <c r="F288" s="35">
        <f>SUM(F285:F287)</f>
        <v>0</v>
      </c>
      <c r="G288" s="52">
        <f>SUM(G285:G287)</f>
        <v>65</v>
      </c>
      <c r="H288" s="27">
        <v>65</v>
      </c>
      <c r="I288" s="1"/>
      <c r="J288" s="11"/>
    </row>
    <row r="289" spans="1:10" ht="12">
      <c r="A289" s="70"/>
      <c r="B289" s="31"/>
      <c r="C289" s="71"/>
      <c r="D289" s="71"/>
      <c r="E289" s="71"/>
      <c r="F289" s="71"/>
      <c r="G289" s="71"/>
      <c r="H289" s="29"/>
      <c r="I289" s="1"/>
      <c r="J289" s="11"/>
    </row>
    <row r="290" spans="1:10" ht="12">
      <c r="A290" s="20"/>
      <c r="B290" s="46"/>
      <c r="C290" s="49"/>
      <c r="D290" s="47"/>
      <c r="E290" s="47"/>
      <c r="F290" s="47"/>
      <c r="G290" s="53"/>
      <c r="H290" s="19" t="s">
        <v>31</v>
      </c>
      <c r="I290" s="1"/>
      <c r="J290" s="11"/>
    </row>
    <row r="291" spans="1:10" ht="12">
      <c r="A291" s="20" t="s">
        <v>248</v>
      </c>
      <c r="B291" s="21"/>
      <c r="C291" s="50"/>
      <c r="G291" s="54"/>
      <c r="H291" s="40">
        <v>2005</v>
      </c>
      <c r="I291" s="1"/>
      <c r="J291" s="11"/>
    </row>
    <row r="292" spans="1:10" ht="12">
      <c r="A292" s="10"/>
      <c r="B292" s="23" t="s">
        <v>249</v>
      </c>
      <c r="C292" s="50"/>
      <c r="D292" s="34">
        <f>-600-30-70</f>
        <v>-700</v>
      </c>
      <c r="E292" s="34"/>
      <c r="F292" s="34"/>
      <c r="G292" s="55">
        <f>SUM(C292:F292)</f>
        <v>-700</v>
      </c>
      <c r="H292" s="24"/>
      <c r="I292" s="1"/>
      <c r="J292" s="11"/>
    </row>
    <row r="293" spans="1:10" ht="12">
      <c r="A293" s="25"/>
      <c r="B293" s="26" t="s">
        <v>35</v>
      </c>
      <c r="C293" s="52">
        <f>SUM(C292:C292)</f>
        <v>0</v>
      </c>
      <c r="D293" s="35">
        <f>SUM(D292:D292)</f>
        <v>-700</v>
      </c>
      <c r="E293" s="35">
        <f>SUM(E292:E292)</f>
        <v>0</v>
      </c>
      <c r="F293" s="35">
        <f>SUM(F292:F292)</f>
        <v>0</v>
      </c>
      <c r="G293" s="52">
        <f>SUM(G292:G292)</f>
        <v>-700</v>
      </c>
      <c r="H293" s="27">
        <v>-493</v>
      </c>
      <c r="I293" s="1"/>
      <c r="J293" s="11"/>
    </row>
    <row r="294" spans="1:10" ht="12">
      <c r="A294" s="30"/>
      <c r="B294" s="31"/>
      <c r="C294" s="155"/>
      <c r="D294" s="155"/>
      <c r="E294" s="155"/>
      <c r="F294" s="155"/>
      <c r="G294" s="155"/>
      <c r="H294" s="32"/>
      <c r="I294" s="1"/>
      <c r="J294" s="11"/>
    </row>
    <row r="295" spans="1:10" ht="15.75">
      <c r="A295" s="38" t="s">
        <v>207</v>
      </c>
      <c r="B295" s="31"/>
      <c r="C295" s="28"/>
      <c r="D295" s="28"/>
      <c r="E295" s="28"/>
      <c r="F295" s="28"/>
      <c r="G295" s="41"/>
      <c r="H295" s="32"/>
      <c r="I295" s="1"/>
      <c r="J295" s="11"/>
    </row>
    <row r="296" spans="1:10" ht="12">
      <c r="A296" s="20"/>
      <c r="B296" s="46"/>
      <c r="C296" s="49"/>
      <c r="D296" s="47"/>
      <c r="E296" s="47"/>
      <c r="F296" s="47"/>
      <c r="G296" s="53"/>
      <c r="H296" s="19" t="s">
        <v>31</v>
      </c>
      <c r="I296" s="1"/>
      <c r="J296" s="11"/>
    </row>
    <row r="297" spans="1:10" ht="12">
      <c r="A297" s="20" t="s">
        <v>70</v>
      </c>
      <c r="B297" s="21"/>
      <c r="C297" s="50"/>
      <c r="G297" s="54"/>
      <c r="H297" s="40">
        <v>2005</v>
      </c>
      <c r="I297" s="1"/>
      <c r="J297" s="11"/>
    </row>
    <row r="298" spans="1:10" ht="12">
      <c r="A298" s="10"/>
      <c r="B298" s="21" t="s">
        <v>34</v>
      </c>
      <c r="C298" s="50"/>
      <c r="D298" s="34"/>
      <c r="E298" s="34"/>
      <c r="F298" s="34"/>
      <c r="G298" s="55">
        <f aca="true" t="shared" si="11" ref="G298:G314">SUM(C298:F298)</f>
        <v>0</v>
      </c>
      <c r="H298" s="24"/>
      <c r="I298" s="1"/>
      <c r="J298" s="11"/>
    </row>
    <row r="299" spans="1:10" ht="12">
      <c r="A299" s="10"/>
      <c r="B299" s="340" t="s">
        <v>71</v>
      </c>
      <c r="C299" s="50">
        <v>1430</v>
      </c>
      <c r="D299" s="34"/>
      <c r="E299" s="34"/>
      <c r="F299" s="34"/>
      <c r="G299" s="55">
        <f t="shared" si="11"/>
        <v>1430</v>
      </c>
      <c r="H299" s="24"/>
      <c r="I299" s="1"/>
      <c r="J299" s="11"/>
    </row>
    <row r="300" spans="1:10" ht="12">
      <c r="A300" s="10"/>
      <c r="B300" s="340" t="s">
        <v>28</v>
      </c>
      <c r="C300" s="50">
        <v>95</v>
      </c>
      <c r="D300" s="34"/>
      <c r="E300" s="34"/>
      <c r="F300" s="34"/>
      <c r="G300" s="55">
        <f t="shared" si="11"/>
        <v>95</v>
      </c>
      <c r="H300" s="24"/>
      <c r="I300" s="1"/>
      <c r="J300" s="11"/>
    </row>
    <row r="301" spans="1:10" ht="12">
      <c r="A301" s="10"/>
      <c r="B301" s="340" t="s">
        <v>72</v>
      </c>
      <c r="C301" s="50"/>
      <c r="D301" s="34">
        <v>15</v>
      </c>
      <c r="E301" s="34"/>
      <c r="F301" s="34"/>
      <c r="G301" s="55">
        <f t="shared" si="11"/>
        <v>15</v>
      </c>
      <c r="H301" s="24"/>
      <c r="I301" s="1"/>
      <c r="J301" s="11"/>
    </row>
    <row r="302" spans="1:10" ht="12">
      <c r="A302" s="10"/>
      <c r="B302" s="340" t="s">
        <v>73</v>
      </c>
      <c r="C302" s="50">
        <v>40</v>
      </c>
      <c r="D302" s="34"/>
      <c r="E302" s="34"/>
      <c r="F302" s="34"/>
      <c r="G302" s="55">
        <f t="shared" si="11"/>
        <v>40</v>
      </c>
      <c r="H302" s="24"/>
      <c r="I302" s="1"/>
      <c r="J302" s="11"/>
    </row>
    <row r="303" spans="1:10" ht="12">
      <c r="A303" s="10"/>
      <c r="B303" s="340" t="s">
        <v>74</v>
      </c>
      <c r="C303" s="50">
        <v>33</v>
      </c>
      <c r="D303" s="34"/>
      <c r="E303" s="34"/>
      <c r="F303" s="34"/>
      <c r="G303" s="55">
        <f t="shared" si="11"/>
        <v>33</v>
      </c>
      <c r="H303" s="24"/>
      <c r="I303" s="1"/>
      <c r="J303" s="11"/>
    </row>
    <row r="304" spans="1:10" ht="12">
      <c r="A304" s="10"/>
      <c r="B304" s="340" t="s">
        <v>75</v>
      </c>
      <c r="C304" s="50"/>
      <c r="D304" s="34">
        <v>208</v>
      </c>
      <c r="E304" s="34"/>
      <c r="F304" s="34"/>
      <c r="G304" s="55">
        <f t="shared" si="11"/>
        <v>208</v>
      </c>
      <c r="H304" s="24"/>
      <c r="I304" s="1"/>
      <c r="J304" s="11"/>
    </row>
    <row r="305" spans="1:10" ht="12">
      <c r="A305" s="10"/>
      <c r="B305" s="340" t="s">
        <v>76</v>
      </c>
      <c r="C305" s="50"/>
      <c r="D305" s="34">
        <v>80</v>
      </c>
      <c r="E305" s="34">
        <v>60</v>
      </c>
      <c r="F305" s="34">
        <v>0</v>
      </c>
      <c r="G305" s="55">
        <f t="shared" si="11"/>
        <v>140</v>
      </c>
      <c r="H305" s="24"/>
      <c r="I305" s="1"/>
      <c r="J305" s="11"/>
    </row>
    <row r="306" spans="1:10" ht="12">
      <c r="A306" s="10"/>
      <c r="B306" s="340" t="s">
        <v>77</v>
      </c>
      <c r="C306" s="50">
        <v>195</v>
      </c>
      <c r="D306" s="34"/>
      <c r="E306" s="34"/>
      <c r="F306" s="34"/>
      <c r="G306" s="55">
        <f t="shared" si="11"/>
        <v>195</v>
      </c>
      <c r="H306" s="24"/>
      <c r="I306" s="1"/>
      <c r="J306" s="11"/>
    </row>
    <row r="307" spans="1:10" ht="12">
      <c r="A307" s="10"/>
      <c r="B307" s="340" t="s">
        <v>52</v>
      </c>
      <c r="C307" s="50">
        <v>120</v>
      </c>
      <c r="D307" s="34"/>
      <c r="E307" s="34"/>
      <c r="F307" s="34"/>
      <c r="G307" s="55">
        <f t="shared" si="11"/>
        <v>120</v>
      </c>
      <c r="H307" s="24"/>
      <c r="I307" s="1"/>
      <c r="J307" s="11"/>
    </row>
    <row r="308" spans="1:10" ht="12">
      <c r="A308" s="10"/>
      <c r="B308" s="340" t="s">
        <v>78</v>
      </c>
      <c r="C308" s="50"/>
      <c r="D308" s="34">
        <v>50</v>
      </c>
      <c r="E308" s="34"/>
      <c r="F308" s="34"/>
      <c r="G308" s="55">
        <f t="shared" si="11"/>
        <v>50</v>
      </c>
      <c r="H308" s="24"/>
      <c r="I308" s="1"/>
      <c r="J308" s="11"/>
    </row>
    <row r="309" spans="1:10" ht="12">
      <c r="A309" s="10"/>
      <c r="B309" s="340" t="s">
        <v>208</v>
      </c>
      <c r="C309" s="50">
        <v>50</v>
      </c>
      <c r="D309" s="34"/>
      <c r="E309" s="34"/>
      <c r="F309" s="34"/>
      <c r="G309" s="55">
        <f t="shared" si="11"/>
        <v>50</v>
      </c>
      <c r="H309" s="24"/>
      <c r="I309" s="1"/>
      <c r="J309" s="11"/>
    </row>
    <row r="310" spans="1:10" ht="12">
      <c r="A310" s="10"/>
      <c r="B310" s="340" t="s">
        <v>113</v>
      </c>
      <c r="C310" s="50"/>
      <c r="D310" s="34">
        <v>13</v>
      </c>
      <c r="E310" s="34"/>
      <c r="F310" s="34"/>
      <c r="G310" s="55">
        <f t="shared" si="11"/>
        <v>13</v>
      </c>
      <c r="H310" s="24"/>
      <c r="I310" s="1"/>
      <c r="J310" s="11"/>
    </row>
    <row r="311" spans="1:10" ht="12">
      <c r="A311" s="10"/>
      <c r="B311" s="340" t="s">
        <v>79</v>
      </c>
      <c r="C311" s="50"/>
      <c r="D311" s="34">
        <v>40</v>
      </c>
      <c r="E311" s="34"/>
      <c r="F311" s="34"/>
      <c r="G311" s="55">
        <f t="shared" si="11"/>
        <v>40</v>
      </c>
      <c r="H311" s="24"/>
      <c r="I311" s="1"/>
      <c r="J311" s="11"/>
    </row>
    <row r="312" spans="1:10" ht="12">
      <c r="A312" s="10"/>
      <c r="B312" s="340" t="s">
        <v>80</v>
      </c>
      <c r="C312" s="50">
        <v>20</v>
      </c>
      <c r="D312" s="34"/>
      <c r="E312" s="34"/>
      <c r="F312" s="34"/>
      <c r="G312" s="55">
        <f t="shared" si="11"/>
        <v>20</v>
      </c>
      <c r="H312" s="24"/>
      <c r="I312" s="1"/>
      <c r="J312" s="11"/>
    </row>
    <row r="313" spans="1:10" ht="12">
      <c r="A313" s="10"/>
      <c r="B313" s="340" t="s">
        <v>29</v>
      </c>
      <c r="C313" s="50"/>
      <c r="D313" s="34">
        <v>32</v>
      </c>
      <c r="E313" s="34"/>
      <c r="F313" s="34"/>
      <c r="G313" s="55">
        <f t="shared" si="11"/>
        <v>32</v>
      </c>
      <c r="H313" s="24"/>
      <c r="I313" s="1"/>
      <c r="J313" s="11"/>
    </row>
    <row r="314" spans="1:10" ht="12">
      <c r="A314" s="10"/>
      <c r="B314" s="340" t="s">
        <v>82</v>
      </c>
      <c r="C314" s="50">
        <v>35</v>
      </c>
      <c r="D314" s="34"/>
      <c r="E314" s="34"/>
      <c r="F314" s="34"/>
      <c r="G314" s="55">
        <f t="shared" si="11"/>
        <v>35</v>
      </c>
      <c r="H314" s="24"/>
      <c r="I314" s="1"/>
      <c r="J314" s="11"/>
    </row>
    <row r="315" spans="1:10" ht="12">
      <c r="A315" s="25"/>
      <c r="B315" s="26" t="s">
        <v>35</v>
      </c>
      <c r="C315" s="52">
        <f>SUM(C298:C314)</f>
        <v>2018</v>
      </c>
      <c r="D315" s="35">
        <f>SUM(D298:D314)</f>
        <v>438</v>
      </c>
      <c r="E315" s="35">
        <f>SUM(E298:E314)</f>
        <v>60</v>
      </c>
      <c r="F315" s="35">
        <f>SUM(F298:F314)</f>
        <v>0</v>
      </c>
      <c r="G315" s="56">
        <f>SUM(G298:G314)</f>
        <v>2516</v>
      </c>
      <c r="H315" s="27">
        <v>2909</v>
      </c>
      <c r="I315" s="1"/>
      <c r="J315" s="11"/>
    </row>
    <row r="316" spans="1:10" ht="12">
      <c r="A316" s="158"/>
      <c r="B316" s="157"/>
      <c r="C316" s="71"/>
      <c r="D316" s="71"/>
      <c r="E316" s="71"/>
      <c r="F316" s="71"/>
      <c r="G316" s="71"/>
      <c r="H316" s="29"/>
      <c r="I316" s="1"/>
      <c r="J316" s="11"/>
    </row>
    <row r="317" spans="1:10" ht="12">
      <c r="A317" s="20"/>
      <c r="B317" s="46"/>
      <c r="C317" s="49"/>
      <c r="D317" s="47"/>
      <c r="E317" s="47"/>
      <c r="F317" s="47"/>
      <c r="G317" s="53"/>
      <c r="H317" s="19" t="s">
        <v>31</v>
      </c>
      <c r="I317" s="1"/>
      <c r="J317" s="11"/>
    </row>
    <row r="318" spans="1:10" ht="12">
      <c r="A318" s="20" t="s">
        <v>81</v>
      </c>
      <c r="B318" s="21"/>
      <c r="C318" s="50"/>
      <c r="G318" s="54"/>
      <c r="H318" s="40">
        <v>2005</v>
      </c>
      <c r="I318" s="1"/>
      <c r="J318" s="11"/>
    </row>
    <row r="319" spans="1:10" ht="12">
      <c r="A319" s="10"/>
      <c r="B319" s="23" t="s">
        <v>81</v>
      </c>
      <c r="C319" s="50">
        <v>485</v>
      </c>
      <c r="D319" s="34"/>
      <c r="E319" s="34"/>
      <c r="F319" s="34"/>
      <c r="G319" s="55">
        <f>SUM(C319:F319)</f>
        <v>485</v>
      </c>
      <c r="H319" s="24"/>
      <c r="I319" s="1"/>
      <c r="J319" s="11"/>
    </row>
    <row r="320" spans="1:10" ht="12">
      <c r="A320" s="25"/>
      <c r="B320" s="26" t="s">
        <v>35</v>
      </c>
      <c r="C320" s="52">
        <f>SUM(C319:C319)</f>
        <v>485</v>
      </c>
      <c r="D320" s="35">
        <f>SUM(D319:D319)</f>
        <v>0</v>
      </c>
      <c r="E320" s="35">
        <f>SUM(E319:E319)</f>
        <v>0</v>
      </c>
      <c r="F320" s="35">
        <f>SUM(F319:F319)</f>
        <v>0</v>
      </c>
      <c r="G320" s="52">
        <f>SUM(G319:G319)</f>
        <v>485</v>
      </c>
      <c r="H320" s="27">
        <v>410</v>
      </c>
      <c r="I320" s="1"/>
      <c r="J320" s="11"/>
    </row>
    <row r="321" spans="1:10" ht="12">
      <c r="A321" s="156"/>
      <c r="B321" s="31"/>
      <c r="C321" s="28"/>
      <c r="D321" s="28"/>
      <c r="E321" s="28"/>
      <c r="F321" s="28"/>
      <c r="G321" s="41"/>
      <c r="H321" s="32"/>
      <c r="I321" s="1"/>
      <c r="J321" s="11"/>
    </row>
    <row r="322" spans="1:10" ht="12">
      <c r="A322" s="20"/>
      <c r="B322" s="46"/>
      <c r="C322" s="49"/>
      <c r="D322" s="47"/>
      <c r="E322" s="47"/>
      <c r="F322" s="47"/>
      <c r="G322" s="53"/>
      <c r="H322" s="19" t="s">
        <v>31</v>
      </c>
      <c r="I322" s="1"/>
      <c r="J322" s="11"/>
    </row>
    <row r="323" spans="1:10" ht="12">
      <c r="A323" s="20" t="s">
        <v>151</v>
      </c>
      <c r="B323" s="21"/>
      <c r="C323" s="50"/>
      <c r="G323" s="54"/>
      <c r="H323" s="40">
        <v>2005</v>
      </c>
      <c r="I323" s="1"/>
      <c r="J323" s="11"/>
    </row>
    <row r="324" spans="1:10" ht="12">
      <c r="A324" s="10"/>
      <c r="B324" s="23" t="s">
        <v>34</v>
      </c>
      <c r="C324" s="50"/>
      <c r="D324" s="34"/>
      <c r="E324" s="34"/>
      <c r="F324" s="34"/>
      <c r="G324" s="55">
        <f>SUM(C324:F324)</f>
        <v>0</v>
      </c>
      <c r="H324" s="24"/>
      <c r="I324" s="1"/>
      <c r="J324" s="8"/>
    </row>
    <row r="325" spans="1:10" ht="12">
      <c r="A325" s="10"/>
      <c r="B325" s="23" t="s">
        <v>209</v>
      </c>
      <c r="C325" s="50"/>
      <c r="D325" s="34"/>
      <c r="E325" s="34">
        <v>8</v>
      </c>
      <c r="F325" s="34"/>
      <c r="G325" s="55">
        <f>SUM(C325:F325)</f>
        <v>8</v>
      </c>
      <c r="H325" s="24"/>
      <c r="I325" s="1"/>
      <c r="J325" s="15"/>
    </row>
    <row r="326" spans="1:10" ht="12">
      <c r="A326" s="22"/>
      <c r="B326" s="23" t="s">
        <v>210</v>
      </c>
      <c r="C326" s="51"/>
      <c r="D326" s="41">
        <v>8</v>
      </c>
      <c r="E326" s="41"/>
      <c r="F326" s="41"/>
      <c r="G326" s="55">
        <f>SUM(C326:F326)</f>
        <v>8</v>
      </c>
      <c r="H326" s="24"/>
      <c r="I326" s="1"/>
      <c r="J326" s="15"/>
    </row>
    <row r="327" spans="1:10" ht="12">
      <c r="A327" s="25"/>
      <c r="B327" s="26" t="s">
        <v>35</v>
      </c>
      <c r="C327" s="52">
        <f>SUM(C324:C326)</f>
        <v>0</v>
      </c>
      <c r="D327" s="35">
        <f>SUM(D324:D326)</f>
        <v>8</v>
      </c>
      <c r="E327" s="35">
        <f>SUM(E324:E326)</f>
        <v>8</v>
      </c>
      <c r="F327" s="35">
        <f>SUM(F324:F326)</f>
        <v>0</v>
      </c>
      <c r="G327" s="52">
        <f>SUM(G324:G326)</f>
        <v>16</v>
      </c>
      <c r="H327" s="27">
        <v>25</v>
      </c>
      <c r="I327" s="1"/>
      <c r="J327" s="15"/>
    </row>
    <row r="328" spans="1:10" ht="12">
      <c r="A328" s="70"/>
      <c r="B328" s="31"/>
      <c r="C328" s="28"/>
      <c r="D328" s="28"/>
      <c r="E328" s="28"/>
      <c r="F328" s="28"/>
      <c r="G328" s="41"/>
      <c r="H328" s="32"/>
      <c r="I328" s="1"/>
      <c r="J328" s="15"/>
    </row>
    <row r="329" spans="1:10" ht="12">
      <c r="A329" s="20"/>
      <c r="B329" s="46"/>
      <c r="C329" s="49"/>
      <c r="D329" s="47"/>
      <c r="E329" s="47"/>
      <c r="F329" s="47"/>
      <c r="G329" s="53"/>
      <c r="H329" s="19" t="s">
        <v>31</v>
      </c>
      <c r="I329" s="1"/>
      <c r="J329" s="15"/>
    </row>
    <row r="330" spans="1:10" ht="12">
      <c r="A330" s="20" t="s">
        <v>115</v>
      </c>
      <c r="B330" s="21"/>
      <c r="C330" s="50"/>
      <c r="G330" s="54"/>
      <c r="H330" s="40">
        <v>2005</v>
      </c>
      <c r="I330" s="1"/>
      <c r="J330" s="15"/>
    </row>
    <row r="331" spans="1:10" ht="12">
      <c r="A331" s="10"/>
      <c r="B331" s="23" t="s">
        <v>34</v>
      </c>
      <c r="C331" s="50"/>
      <c r="D331" s="34"/>
      <c r="E331" s="34"/>
      <c r="F331" s="34"/>
      <c r="G331" s="55">
        <f>SUM(C331:F331)</f>
        <v>0</v>
      </c>
      <c r="H331" s="24"/>
      <c r="I331" s="1"/>
      <c r="J331" s="15"/>
    </row>
    <row r="332" spans="1:10" ht="12">
      <c r="A332" s="10"/>
      <c r="B332" s="23" t="s">
        <v>115</v>
      </c>
      <c r="C332" s="50"/>
      <c r="D332" s="34">
        <v>350</v>
      </c>
      <c r="E332" s="34">
        <v>40</v>
      </c>
      <c r="F332" s="34"/>
      <c r="G332" s="55">
        <f>SUM(C332:F332)</f>
        <v>390</v>
      </c>
      <c r="H332" s="24"/>
      <c r="I332" s="1"/>
      <c r="J332" s="15"/>
    </row>
    <row r="333" spans="1:10" ht="12">
      <c r="A333" s="25"/>
      <c r="B333" s="26" t="s">
        <v>35</v>
      </c>
      <c r="C333" s="52">
        <f>SUM(C331:C332)</f>
        <v>0</v>
      </c>
      <c r="D333" s="35">
        <f>SUM(D331:D332)</f>
        <v>350</v>
      </c>
      <c r="E333" s="35">
        <f>SUM(E331:E332)</f>
        <v>40</v>
      </c>
      <c r="F333" s="35">
        <f>SUM(F331:F332)</f>
        <v>0</v>
      </c>
      <c r="G333" s="52">
        <f>SUM(G331:G332)</f>
        <v>390</v>
      </c>
      <c r="H333" s="27">
        <v>390</v>
      </c>
      <c r="I333" s="1"/>
      <c r="J333" s="15"/>
    </row>
    <row r="334" spans="1:10" ht="12">
      <c r="A334" s="70"/>
      <c r="B334" s="31"/>
      <c r="C334" s="28"/>
      <c r="D334" s="28"/>
      <c r="E334" s="28"/>
      <c r="F334" s="28"/>
      <c r="G334" s="41"/>
      <c r="H334" s="32"/>
      <c r="I334" s="1"/>
      <c r="J334" s="15"/>
    </row>
    <row r="335" spans="1:10" ht="12">
      <c r="A335" s="20"/>
      <c r="B335" s="46"/>
      <c r="C335" s="49"/>
      <c r="D335" s="47"/>
      <c r="E335" s="47"/>
      <c r="F335" s="47"/>
      <c r="G335" s="53"/>
      <c r="H335" s="19" t="s">
        <v>31</v>
      </c>
      <c r="I335" s="1"/>
      <c r="J335" s="15"/>
    </row>
    <row r="336" spans="1:10" ht="12">
      <c r="A336" s="20" t="s">
        <v>83</v>
      </c>
      <c r="B336" s="21"/>
      <c r="C336" s="50"/>
      <c r="G336" s="54"/>
      <c r="H336" s="40">
        <v>2005</v>
      </c>
      <c r="I336" s="1"/>
      <c r="J336" s="15"/>
    </row>
    <row r="337" spans="1:10" ht="12">
      <c r="A337" s="10"/>
      <c r="B337" s="23" t="s">
        <v>34</v>
      </c>
      <c r="C337" s="50"/>
      <c r="D337" s="34"/>
      <c r="E337" s="34"/>
      <c r="F337" s="34"/>
      <c r="G337" s="55">
        <f>SUM(C337:F337)</f>
        <v>0</v>
      </c>
      <c r="H337" s="24"/>
      <c r="I337" s="1"/>
      <c r="J337" s="15"/>
    </row>
    <row r="338" spans="1:10" ht="12">
      <c r="A338" s="10"/>
      <c r="B338" s="23" t="s">
        <v>84</v>
      </c>
      <c r="C338" s="50">
        <v>50</v>
      </c>
      <c r="D338" s="34"/>
      <c r="E338" s="34"/>
      <c r="F338" s="34"/>
      <c r="G338" s="55">
        <f>SUM(C338:F338)</f>
        <v>50</v>
      </c>
      <c r="H338" s="24"/>
      <c r="I338" s="1"/>
      <c r="J338" s="15"/>
    </row>
    <row r="339" spans="1:10" ht="12">
      <c r="A339" s="10"/>
      <c r="B339" s="23" t="s">
        <v>85</v>
      </c>
      <c r="C339" s="50">
        <v>25</v>
      </c>
      <c r="D339" s="34"/>
      <c r="E339" s="34"/>
      <c r="F339" s="34"/>
      <c r="G339" s="55">
        <f>SUM(C339:F339)</f>
        <v>25</v>
      </c>
      <c r="H339" s="24"/>
      <c r="I339" s="1"/>
      <c r="J339" s="15"/>
    </row>
    <row r="340" spans="1:10" ht="12">
      <c r="A340" s="25"/>
      <c r="B340" s="26" t="s">
        <v>35</v>
      </c>
      <c r="C340" s="52">
        <f>SUM(C337:C339)</f>
        <v>75</v>
      </c>
      <c r="D340" s="35">
        <f>SUM(D337:D339)</f>
        <v>0</v>
      </c>
      <c r="E340" s="35">
        <f>SUM(E337:E339)</f>
        <v>0</v>
      </c>
      <c r="F340" s="35">
        <f>SUM(F337:F339)</f>
        <v>0</v>
      </c>
      <c r="G340" s="52">
        <f>SUM(G337:G339)</f>
        <v>75</v>
      </c>
      <c r="H340" s="27">
        <v>115</v>
      </c>
      <c r="I340" s="1"/>
      <c r="J340" s="15"/>
    </row>
    <row r="341" spans="1:10" ht="12">
      <c r="A341" s="70"/>
      <c r="B341" s="31"/>
      <c r="C341" s="28"/>
      <c r="D341" s="28"/>
      <c r="E341" s="28"/>
      <c r="F341" s="28"/>
      <c r="G341" s="41"/>
      <c r="H341" s="32"/>
      <c r="I341" s="1"/>
      <c r="J341" s="12"/>
    </row>
    <row r="342" spans="1:10" ht="12">
      <c r="A342" s="20"/>
      <c r="B342" s="46"/>
      <c r="C342" s="49"/>
      <c r="D342" s="47"/>
      <c r="E342" s="47"/>
      <c r="F342" s="47"/>
      <c r="G342" s="53"/>
      <c r="H342" s="19" t="s">
        <v>31</v>
      </c>
      <c r="I342" s="1"/>
      <c r="J342" s="11"/>
    </row>
    <row r="343" spans="1:10" ht="12">
      <c r="A343" s="20" t="s">
        <v>211</v>
      </c>
      <c r="B343" s="21"/>
      <c r="C343" s="50"/>
      <c r="G343" s="54"/>
      <c r="H343" s="40">
        <v>2005</v>
      </c>
      <c r="I343" s="1"/>
      <c r="J343" s="11"/>
    </row>
    <row r="344" spans="1:10" ht="14.25" customHeight="1">
      <c r="A344" s="10"/>
      <c r="B344" s="23" t="s">
        <v>34</v>
      </c>
      <c r="C344" s="50"/>
      <c r="D344" s="34"/>
      <c r="E344" s="34"/>
      <c r="F344" s="34"/>
      <c r="G344" s="55">
        <f>SUM(C344:F344)</f>
        <v>0</v>
      </c>
      <c r="H344" s="24"/>
      <c r="I344" s="1"/>
      <c r="J344" s="11"/>
    </row>
    <row r="345" spans="1:10" ht="14.25" customHeight="1">
      <c r="A345" s="10"/>
      <c r="B345" s="23" t="s">
        <v>87</v>
      </c>
      <c r="C345" s="50">
        <v>3000</v>
      </c>
      <c r="D345" s="34">
        <f>8290-700-80-150</f>
        <v>7360</v>
      </c>
      <c r="E345" s="34">
        <v>700</v>
      </c>
      <c r="F345" s="34"/>
      <c r="G345" s="55">
        <f aca="true" t="shared" si="12" ref="G345:G359">SUM(C345:F345)</f>
        <v>11060</v>
      </c>
      <c r="H345" s="24"/>
      <c r="I345" s="1"/>
      <c r="J345" s="11"/>
    </row>
    <row r="346" spans="1:10" ht="14.25" customHeight="1">
      <c r="A346" s="10"/>
      <c r="B346" s="23" t="s">
        <v>88</v>
      </c>
      <c r="C346" s="50"/>
      <c r="D346" s="34">
        <v>250</v>
      </c>
      <c r="E346" s="34"/>
      <c r="F346" s="34"/>
      <c r="G346" s="55">
        <f t="shared" si="12"/>
        <v>250</v>
      </c>
      <c r="H346" s="24"/>
      <c r="I346" s="1"/>
      <c r="J346" s="11"/>
    </row>
    <row r="347" spans="1:10" ht="14.25" customHeight="1">
      <c r="A347" s="10"/>
      <c r="B347" s="23" t="s">
        <v>89</v>
      </c>
      <c r="C347" s="50"/>
      <c r="D347" s="34"/>
      <c r="E347" s="34"/>
      <c r="F347" s="34"/>
      <c r="G347" s="55">
        <f t="shared" si="12"/>
        <v>0</v>
      </c>
      <c r="H347" s="24"/>
      <c r="I347" s="1"/>
      <c r="J347" s="11"/>
    </row>
    <row r="348" spans="1:10" ht="14.25" customHeight="1">
      <c r="A348" s="10"/>
      <c r="B348" s="23" t="s">
        <v>90</v>
      </c>
      <c r="C348" s="50"/>
      <c r="D348" s="34"/>
      <c r="E348" s="34"/>
      <c r="F348" s="34"/>
      <c r="G348" s="55">
        <f t="shared" si="12"/>
        <v>0</v>
      </c>
      <c r="H348" s="24"/>
      <c r="I348" s="1"/>
      <c r="J348" s="11"/>
    </row>
    <row r="349" spans="1:10" ht="12">
      <c r="A349" s="10"/>
      <c r="B349" s="23" t="s">
        <v>12</v>
      </c>
      <c r="C349" s="50"/>
      <c r="D349" s="34">
        <v>96</v>
      </c>
      <c r="E349" s="34"/>
      <c r="F349" s="34"/>
      <c r="G349" s="55">
        <f t="shared" si="12"/>
        <v>96</v>
      </c>
      <c r="H349" s="24"/>
      <c r="I349" s="1"/>
      <c r="J349" s="11"/>
    </row>
    <row r="350" spans="1:10" ht="12">
      <c r="A350" s="10"/>
      <c r="B350" s="23" t="s">
        <v>212</v>
      </c>
      <c r="C350" s="50"/>
      <c r="D350" s="34">
        <v>12</v>
      </c>
      <c r="E350" s="34">
        <v>11</v>
      </c>
      <c r="F350" s="34"/>
      <c r="G350" s="55">
        <f t="shared" si="12"/>
        <v>23</v>
      </c>
      <c r="H350" s="24"/>
      <c r="I350" s="1"/>
      <c r="J350" s="11"/>
    </row>
    <row r="351" spans="1:10" ht="12">
      <c r="A351" s="10"/>
      <c r="B351" s="23" t="s">
        <v>13</v>
      </c>
      <c r="C351" s="50"/>
      <c r="D351" s="34"/>
      <c r="E351" s="34">
        <v>30</v>
      </c>
      <c r="F351" s="34"/>
      <c r="G351" s="55">
        <f t="shared" si="12"/>
        <v>30</v>
      </c>
      <c r="H351" s="24"/>
      <c r="I351" s="1"/>
      <c r="J351" s="11"/>
    </row>
    <row r="352" spans="1:10" ht="12">
      <c r="A352" s="10"/>
      <c r="B352" s="23" t="s">
        <v>0</v>
      </c>
      <c r="C352" s="50"/>
      <c r="D352" s="34">
        <v>15</v>
      </c>
      <c r="E352" s="34">
        <v>15</v>
      </c>
      <c r="F352" s="34"/>
      <c r="G352" s="55">
        <f t="shared" si="12"/>
        <v>30</v>
      </c>
      <c r="H352" s="24"/>
      <c r="I352" s="1"/>
      <c r="J352" s="11"/>
    </row>
    <row r="353" spans="1:10" ht="12">
      <c r="A353" s="10"/>
      <c r="B353" s="23" t="s">
        <v>1</v>
      </c>
      <c r="C353" s="50"/>
      <c r="D353" s="34">
        <v>56</v>
      </c>
      <c r="E353" s="34">
        <v>10</v>
      </c>
      <c r="F353" s="34"/>
      <c r="G353" s="55">
        <f t="shared" si="12"/>
        <v>66</v>
      </c>
      <c r="H353" s="24"/>
      <c r="I353" s="1"/>
      <c r="J353" s="11"/>
    </row>
    <row r="354" spans="1:10" ht="12">
      <c r="A354" s="10"/>
      <c r="B354" s="23" t="s">
        <v>2</v>
      </c>
      <c r="C354" s="50"/>
      <c r="D354" s="34">
        <v>44</v>
      </c>
      <c r="E354" s="34">
        <v>43</v>
      </c>
      <c r="F354" s="34"/>
      <c r="G354" s="55">
        <f t="shared" si="12"/>
        <v>87</v>
      </c>
      <c r="H354" s="24"/>
      <c r="I354" s="1"/>
      <c r="J354" s="11"/>
    </row>
    <row r="355" spans="1:10" ht="12">
      <c r="A355" s="10"/>
      <c r="B355" s="23" t="s">
        <v>59</v>
      </c>
      <c r="C355" s="50"/>
      <c r="D355" s="34">
        <v>50</v>
      </c>
      <c r="E355" s="34">
        <v>26</v>
      </c>
      <c r="F355" s="34"/>
      <c r="G355" s="55">
        <f t="shared" si="12"/>
        <v>76</v>
      </c>
      <c r="H355" s="24"/>
      <c r="I355" s="1"/>
      <c r="J355" s="11"/>
    </row>
    <row r="356" spans="1:10" ht="12">
      <c r="A356" s="10"/>
      <c r="B356" s="23" t="s">
        <v>150</v>
      </c>
      <c r="C356" s="50"/>
      <c r="D356" s="34">
        <v>21</v>
      </c>
      <c r="E356" s="34">
        <v>25</v>
      </c>
      <c r="F356" s="34"/>
      <c r="G356" s="55">
        <f t="shared" si="12"/>
        <v>46</v>
      </c>
      <c r="H356" s="24"/>
      <c r="I356" s="1"/>
      <c r="J356" s="11"/>
    </row>
    <row r="357" spans="1:10" ht="12">
      <c r="A357" s="10"/>
      <c r="B357" s="23" t="s">
        <v>213</v>
      </c>
      <c r="C357" s="50"/>
      <c r="D357" s="34">
        <v>7</v>
      </c>
      <c r="E357" s="34">
        <v>6</v>
      </c>
      <c r="F357" s="34"/>
      <c r="G357" s="55">
        <f t="shared" si="12"/>
        <v>13</v>
      </c>
      <c r="H357" s="24"/>
      <c r="I357" s="1"/>
      <c r="J357" s="11"/>
    </row>
    <row r="358" spans="1:10" ht="12">
      <c r="A358" s="10"/>
      <c r="B358" s="23" t="s">
        <v>362</v>
      </c>
      <c r="C358" s="50"/>
      <c r="D358" s="34">
        <v>5</v>
      </c>
      <c r="E358" s="34">
        <v>5</v>
      </c>
      <c r="F358" s="34"/>
      <c r="G358" s="55">
        <f t="shared" si="12"/>
        <v>10</v>
      </c>
      <c r="H358" s="24"/>
      <c r="I358" s="1"/>
      <c r="J358" s="11"/>
    </row>
    <row r="359" spans="1:9" ht="12">
      <c r="A359" s="25"/>
      <c r="B359" s="26" t="s">
        <v>35</v>
      </c>
      <c r="C359" s="52">
        <f>SUM(C344:C357)</f>
        <v>3000</v>
      </c>
      <c r="D359" s="35">
        <f>SUM(D344:D358)</f>
        <v>7916</v>
      </c>
      <c r="E359" s="35">
        <f>SUM(E344:E358)</f>
        <v>871</v>
      </c>
      <c r="F359" s="35">
        <f>SUM(F344:F357)</f>
        <v>0</v>
      </c>
      <c r="G359" s="56">
        <f t="shared" si="12"/>
        <v>11787</v>
      </c>
      <c r="H359" s="27">
        <v>10007</v>
      </c>
      <c r="I359" s="1"/>
    </row>
    <row r="360" spans="1:10" ht="12">
      <c r="A360" s="30"/>
      <c r="B360" s="31"/>
      <c r="C360" s="28"/>
      <c r="D360" s="28"/>
      <c r="E360" s="28"/>
      <c r="F360" s="28"/>
      <c r="G360" s="41"/>
      <c r="H360" s="32"/>
      <c r="I360" s="1"/>
      <c r="J360" s="17"/>
    </row>
    <row r="361" spans="1:10" ht="15.75">
      <c r="A361" s="38" t="s">
        <v>214</v>
      </c>
      <c r="B361" s="31"/>
      <c r="C361" s="28"/>
      <c r="D361" s="28"/>
      <c r="E361" s="28"/>
      <c r="F361" s="28"/>
      <c r="G361" s="41"/>
      <c r="H361" s="32"/>
      <c r="I361" s="1"/>
      <c r="J361" s="17"/>
    </row>
    <row r="362" spans="1:10" ht="12">
      <c r="A362" s="20"/>
      <c r="B362" s="46"/>
      <c r="C362" s="49"/>
      <c r="D362" s="47"/>
      <c r="E362" s="47"/>
      <c r="F362" s="47"/>
      <c r="G362" s="53"/>
      <c r="H362" s="19" t="s">
        <v>31</v>
      </c>
      <c r="I362" s="1"/>
      <c r="J362" s="17"/>
    </row>
    <row r="363" spans="1:10" ht="12">
      <c r="A363" s="20" t="s">
        <v>214</v>
      </c>
      <c r="B363" s="21"/>
      <c r="C363" s="50"/>
      <c r="G363" s="54"/>
      <c r="H363" s="40">
        <v>2005</v>
      </c>
      <c r="I363" s="1"/>
      <c r="J363" s="17"/>
    </row>
    <row r="364" spans="1:10" ht="12">
      <c r="A364" s="10"/>
      <c r="B364" s="23" t="s">
        <v>112</v>
      </c>
      <c r="C364" s="50">
        <v>14173</v>
      </c>
      <c r="D364" s="34"/>
      <c r="E364" s="34"/>
      <c r="F364" s="34"/>
      <c r="G364" s="55">
        <f>SUM(C364:F364)</f>
        <v>14173</v>
      </c>
      <c r="H364" s="24"/>
      <c r="I364" s="1"/>
      <c r="J364" s="17"/>
    </row>
    <row r="365" spans="1:10" ht="12">
      <c r="A365" s="10"/>
      <c r="B365" s="23" t="s">
        <v>215</v>
      </c>
      <c r="C365" s="50">
        <v>-1366</v>
      </c>
      <c r="D365" s="34"/>
      <c r="E365" s="34"/>
      <c r="F365" s="34"/>
      <c r="G365" s="55">
        <f>SUM(C365:F365)</f>
        <v>-1366</v>
      </c>
      <c r="H365" s="24"/>
      <c r="I365" s="1"/>
      <c r="J365" s="17"/>
    </row>
    <row r="366" spans="1:10" ht="12">
      <c r="A366" s="10"/>
      <c r="B366" s="23" t="s">
        <v>216</v>
      </c>
      <c r="C366" s="50">
        <f>902+147-6</f>
        <v>1043</v>
      </c>
      <c r="D366" s="34"/>
      <c r="E366" s="34"/>
      <c r="F366" s="34"/>
      <c r="G366" s="55">
        <f>SUM(C366:F366)</f>
        <v>1043</v>
      </c>
      <c r="H366" s="24"/>
      <c r="I366" s="1"/>
      <c r="J366" s="17"/>
    </row>
    <row r="367" spans="1:10" ht="12">
      <c r="A367" s="25"/>
      <c r="B367" s="26" t="s">
        <v>35</v>
      </c>
      <c r="C367" s="52">
        <f>SUM(C364:C366)</f>
        <v>13850</v>
      </c>
      <c r="D367" s="35">
        <f>SUM(D364:D366)</f>
        <v>0</v>
      </c>
      <c r="E367" s="35">
        <f>SUM(E364:E366)</f>
        <v>0</v>
      </c>
      <c r="F367" s="35">
        <f>SUM(F364:F366)</f>
        <v>0</v>
      </c>
      <c r="G367" s="52">
        <f>SUM(G364:G366)</f>
        <v>13850</v>
      </c>
      <c r="H367" s="27">
        <v>13122</v>
      </c>
      <c r="I367" s="1"/>
      <c r="J367" s="17"/>
    </row>
    <row r="368" spans="1:10" ht="12">
      <c r="A368" s="30"/>
      <c r="B368" s="31"/>
      <c r="C368" s="28"/>
      <c r="D368" s="28"/>
      <c r="E368" s="28"/>
      <c r="F368" s="28"/>
      <c r="G368" s="41"/>
      <c r="H368" s="32"/>
      <c r="I368" s="1"/>
      <c r="J368" s="17"/>
    </row>
    <row r="369" spans="1:10" ht="12">
      <c r="A369" s="30"/>
      <c r="B369" s="31"/>
      <c r="C369" s="28"/>
      <c r="D369" s="28"/>
      <c r="E369" s="28"/>
      <c r="F369" s="28"/>
      <c r="G369" s="41"/>
      <c r="H369" s="32"/>
      <c r="I369" s="1"/>
      <c r="J369" s="17"/>
    </row>
    <row r="370" spans="1:10" s="16" customFormat="1" ht="12">
      <c r="A370" s="337"/>
      <c r="B370" s="18"/>
      <c r="C370" s="9"/>
      <c r="D370" s="14"/>
      <c r="E370" s="14"/>
      <c r="F370" s="14"/>
      <c r="G370" s="18"/>
      <c r="H370" s="33"/>
      <c r="I370" s="1"/>
      <c r="J370" s="2"/>
    </row>
    <row r="371" spans="1:10" s="16" customFormat="1" ht="12.75">
      <c r="A371" s="526"/>
      <c r="B371" s="527" t="s">
        <v>242</v>
      </c>
      <c r="C371" s="528" t="s">
        <v>157</v>
      </c>
      <c r="D371" s="529" t="s">
        <v>158</v>
      </c>
      <c r="E371" s="530"/>
      <c r="F371" s="530"/>
      <c r="G371" s="531" t="s">
        <v>35</v>
      </c>
      <c r="H371" s="532" t="s">
        <v>35</v>
      </c>
      <c r="I371" s="1"/>
      <c r="J371" s="2"/>
    </row>
    <row r="372" spans="1:10" s="16" customFormat="1" ht="12.75">
      <c r="A372" s="526"/>
      <c r="B372" s="533"/>
      <c r="C372" s="534"/>
      <c r="D372" s="535" t="s">
        <v>397</v>
      </c>
      <c r="E372" s="536" t="s">
        <v>398</v>
      </c>
      <c r="F372" s="536" t="s">
        <v>399</v>
      </c>
      <c r="G372" s="537"/>
      <c r="H372" s="538"/>
      <c r="I372" s="13"/>
      <c r="J372" s="2"/>
    </row>
    <row r="373" spans="1:10" s="16" customFormat="1" ht="12.75">
      <c r="A373" s="526"/>
      <c r="B373" s="539" t="s">
        <v>296</v>
      </c>
      <c r="C373" s="540">
        <f>C17+C23+C30+C39+C53+C63+C71+C77+C83+C95+C104+C111+C130+C142+C164+C172+C176+C188+C194+C200+C212+C218+C224+C231+C246+C276+C281+C288+C293</f>
        <v>4787</v>
      </c>
      <c r="D373" s="540">
        <f>D17+D23+D30+D39+D53+D63+D71+D77+D83+D95+D104+D111+D130+D142+D164+D172+D176+D188+D194+D200+D212+D218+D224+D231+D246+D276+D281+D288+D293</f>
        <v>10608</v>
      </c>
      <c r="E373" s="540">
        <f>E17+E23+E30+E39+E53+E63+E71+E77+E83+E95+E104+E111+E130+E142+E164+E172+E176+E188+E194+E200+E212+E218+E224+E231+E246+E276+E281+E288+E293</f>
        <v>313</v>
      </c>
      <c r="F373" s="540">
        <f>F17+F23+F30+F39+F53+F63+F71+F77+F83+F95+F104+F111+F130+F142+F164+F172+F176+F188+F194+F200+F212+F218+F224+F231+F246+F276+F281+F288+F293</f>
        <v>0</v>
      </c>
      <c r="G373" s="541">
        <f>C373+D373+E373+F373</f>
        <v>15708</v>
      </c>
      <c r="H373" s="572">
        <v>11862</v>
      </c>
      <c r="I373" s="13"/>
      <c r="J373" s="2"/>
    </row>
    <row r="374" spans="1:10" s="16" customFormat="1" ht="12.75">
      <c r="A374" s="526"/>
      <c r="B374" s="542" t="s">
        <v>244</v>
      </c>
      <c r="C374" s="543">
        <f>C315+C320+C327+C333+C340</f>
        <v>2578</v>
      </c>
      <c r="D374" s="543">
        <f>D315+D320+D327+D333+D340</f>
        <v>796</v>
      </c>
      <c r="E374" s="543">
        <f>E315+E320+E327+E333+E340</f>
        <v>108</v>
      </c>
      <c r="F374" s="543">
        <f>F315+F320+F327+F333+F340</f>
        <v>0</v>
      </c>
      <c r="G374" s="570">
        <f>C374+D374+E374+F374</f>
        <v>3482</v>
      </c>
      <c r="H374" s="570">
        <v>3849</v>
      </c>
      <c r="I374" s="13"/>
      <c r="J374" s="2"/>
    </row>
    <row r="375" spans="1:10" s="16" customFormat="1" ht="12.75">
      <c r="A375" s="526"/>
      <c r="B375" s="542" t="s">
        <v>245</v>
      </c>
      <c r="C375" s="545">
        <f>C359</f>
        <v>3000</v>
      </c>
      <c r="D375" s="545">
        <f>D359</f>
        <v>7916</v>
      </c>
      <c r="E375" s="545">
        <f>E359</f>
        <v>871</v>
      </c>
      <c r="F375" s="545">
        <f>F359</f>
        <v>0</v>
      </c>
      <c r="G375" s="570">
        <f>C375+D375+E375+F375</f>
        <v>11787</v>
      </c>
      <c r="H375" s="544">
        <v>10007</v>
      </c>
      <c r="I375" s="13"/>
      <c r="J375" s="2"/>
    </row>
    <row r="376" spans="1:10" s="16" customFormat="1" ht="12.75">
      <c r="A376" s="526"/>
      <c r="B376" s="546" t="s">
        <v>246</v>
      </c>
      <c r="C376" s="547">
        <f aca="true" t="shared" si="13" ref="C376:H376">SUM(C373:C375)</f>
        <v>10365</v>
      </c>
      <c r="D376" s="547">
        <f t="shared" si="13"/>
        <v>19320</v>
      </c>
      <c r="E376" s="547">
        <f t="shared" si="13"/>
        <v>1292</v>
      </c>
      <c r="F376" s="547">
        <f t="shared" si="13"/>
        <v>0</v>
      </c>
      <c r="G376" s="547">
        <f t="shared" si="13"/>
        <v>30977</v>
      </c>
      <c r="H376" s="548">
        <f t="shared" si="13"/>
        <v>25718</v>
      </c>
      <c r="I376" s="13"/>
      <c r="J376" s="2"/>
    </row>
    <row r="377" spans="1:10" s="16" customFormat="1" ht="12.75">
      <c r="A377" s="549"/>
      <c r="B377" s="542" t="s">
        <v>214</v>
      </c>
      <c r="C377" s="545">
        <f>C367</f>
        <v>13850</v>
      </c>
      <c r="D377" s="545">
        <f>D367</f>
        <v>0</v>
      </c>
      <c r="E377" s="545">
        <f>E367</f>
        <v>0</v>
      </c>
      <c r="F377" s="545">
        <f>+F369</f>
        <v>0</v>
      </c>
      <c r="G377" s="545">
        <f>C377+D377+E377+F377</f>
        <v>13850</v>
      </c>
      <c r="H377" s="544">
        <v>13122</v>
      </c>
      <c r="I377" s="13"/>
      <c r="J377" s="2"/>
    </row>
    <row r="378" spans="1:10" s="16" customFormat="1" ht="12.75">
      <c r="A378" s="549"/>
      <c r="B378" s="546" t="s">
        <v>35</v>
      </c>
      <c r="C378" s="547">
        <f>C376+C377</f>
        <v>24215</v>
      </c>
      <c r="D378" s="547">
        <f>D376+D377</f>
        <v>19320</v>
      </c>
      <c r="E378" s="547">
        <f>E376+E377</f>
        <v>1292</v>
      </c>
      <c r="F378" s="547">
        <f>F376+F377</f>
        <v>0</v>
      </c>
      <c r="G378" s="547">
        <f>G376+G377</f>
        <v>44827</v>
      </c>
      <c r="H378" s="548">
        <f>SUM(H376:H377)</f>
        <v>38840</v>
      </c>
      <c r="I378" s="13"/>
      <c r="J378" s="2"/>
    </row>
    <row r="379" spans="1:10" s="16" customFormat="1" ht="12.75">
      <c r="A379" s="549"/>
      <c r="B379" s="550" t="s">
        <v>400</v>
      </c>
      <c r="C379" s="571">
        <f>C378/$G$378</f>
        <v>0.5401878332255114</v>
      </c>
      <c r="D379" s="571">
        <f>D378/$G$378</f>
        <v>0.43099025141097996</v>
      </c>
      <c r="E379" s="571">
        <f>E378/$G$378</f>
        <v>0.028821915363508598</v>
      </c>
      <c r="F379" s="571">
        <f>F378/$G$378</f>
        <v>0</v>
      </c>
      <c r="G379" s="571">
        <f>G378/$G$378</f>
        <v>1</v>
      </c>
      <c r="H379" s="551"/>
      <c r="I379" s="13"/>
      <c r="J379" s="2"/>
    </row>
    <row r="380" spans="1:10" s="16" customFormat="1" ht="12.75">
      <c r="A380" s="549"/>
      <c r="B380" s="527"/>
      <c r="C380" s="552"/>
      <c r="D380" s="553"/>
      <c r="E380" s="553"/>
      <c r="F380" s="553"/>
      <c r="G380" s="554"/>
      <c r="H380" s="555"/>
      <c r="I380" s="13"/>
      <c r="J380" s="2"/>
    </row>
    <row r="381" spans="1:8" ht="12.75">
      <c r="A381" s="549"/>
      <c r="B381" s="527"/>
      <c r="C381" s="552"/>
      <c r="D381" s="553"/>
      <c r="E381" s="553"/>
      <c r="F381" s="553"/>
      <c r="G381" s="557"/>
      <c r="H381" s="558"/>
    </row>
    <row r="382" spans="1:8" ht="12.75">
      <c r="A382" s="549"/>
      <c r="B382" s="539"/>
      <c r="C382" s="559">
        <v>2006</v>
      </c>
      <c r="D382" s="559">
        <v>2005</v>
      </c>
      <c r="E382" s="560" t="s">
        <v>324</v>
      </c>
      <c r="F382" s="561" t="s">
        <v>401</v>
      </c>
      <c r="G382" s="533"/>
      <c r="H382" s="562"/>
    </row>
    <row r="383" spans="1:8" ht="12.75">
      <c r="A383" s="549"/>
      <c r="B383" s="542" t="s">
        <v>402</v>
      </c>
      <c r="C383" s="563">
        <f>'Sammanfattning bil 1'!B24</f>
        <v>44827</v>
      </c>
      <c r="D383" s="563">
        <v>38840</v>
      </c>
      <c r="E383" s="564">
        <f>C383-D383</f>
        <v>5987</v>
      </c>
      <c r="F383" s="565">
        <f>E383/D383*100</f>
        <v>15.414521112255406</v>
      </c>
      <c r="G383" s="533"/>
      <c r="H383" s="562"/>
    </row>
    <row r="384" spans="1:8" ht="12.75">
      <c r="A384" s="549"/>
      <c r="B384" s="542" t="s">
        <v>214</v>
      </c>
      <c r="C384" s="563">
        <f>G367</f>
        <v>13850</v>
      </c>
      <c r="D384" s="563">
        <v>13122</v>
      </c>
      <c r="E384" s="564">
        <f>C384-D384</f>
        <v>728</v>
      </c>
      <c r="F384" s="565">
        <f>E384/D384*100</f>
        <v>5.547934766041762</v>
      </c>
      <c r="G384" s="533"/>
      <c r="H384" s="562"/>
    </row>
    <row r="385" spans="1:8" ht="12.75">
      <c r="A385" s="549"/>
      <c r="B385" s="542" t="s">
        <v>211</v>
      </c>
      <c r="C385" s="563">
        <f>G359</f>
        <v>11787</v>
      </c>
      <c r="D385" s="563">
        <v>10007</v>
      </c>
      <c r="E385" s="564">
        <f>C385-D385</f>
        <v>1780</v>
      </c>
      <c r="F385" s="565">
        <f>E385/D385*100</f>
        <v>17.787548715898872</v>
      </c>
      <c r="G385" s="533"/>
      <c r="H385" s="562"/>
    </row>
    <row r="386" spans="1:8" ht="12.75">
      <c r="A386" s="549"/>
      <c r="B386" s="542" t="s">
        <v>244</v>
      </c>
      <c r="C386" s="563">
        <f>G315+G320+G327+G333+G340</f>
        <v>3482</v>
      </c>
      <c r="D386" s="563">
        <v>3849</v>
      </c>
      <c r="E386" s="564">
        <f>C386-D386</f>
        <v>-367</v>
      </c>
      <c r="F386" s="565">
        <f>E386/D386*100</f>
        <v>-9.534944141335412</v>
      </c>
      <c r="G386" s="533"/>
      <c r="H386" s="562"/>
    </row>
    <row r="387" spans="1:8" ht="12.75">
      <c r="A387" s="549"/>
      <c r="B387" s="566" t="s">
        <v>403</v>
      </c>
      <c r="C387" s="567">
        <f>C383-SUM(C384:C386)</f>
        <v>15708</v>
      </c>
      <c r="D387" s="567">
        <v>11862</v>
      </c>
      <c r="E387" s="568">
        <f>C387-D387</f>
        <v>3846</v>
      </c>
      <c r="F387" s="569">
        <f>E387/D387*100</f>
        <v>32.42286292362165</v>
      </c>
      <c r="G387" s="556"/>
      <c r="H387" s="562"/>
    </row>
  </sheetData>
  <mergeCells count="1">
    <mergeCell ref="D3:F3"/>
  </mergeCells>
  <printOptions horizontalCentered="1"/>
  <pageMargins left="0.15748031496062992" right="0.2362204724409449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2"/>
  <sheetViews>
    <sheetView workbookViewId="0" topLeftCell="A32">
      <selection activeCell="D48" sqref="D48"/>
    </sheetView>
  </sheetViews>
  <sheetFormatPr defaultColWidth="9.140625" defaultRowHeight="12.75"/>
  <cols>
    <col min="1" max="1" width="44.7109375" style="69" customWidth="1"/>
    <col min="2" max="2" width="27.7109375" style="517" customWidth="1"/>
    <col min="3" max="3" width="12.140625" style="517" bestFit="1" customWidth="1"/>
    <col min="4" max="4" width="128.8515625" style="69" bestFit="1" customWidth="1"/>
    <col min="5" max="16384" width="8.8515625" style="69" customWidth="1"/>
  </cols>
  <sheetData>
    <row r="1" spans="1:2" ht="17.25">
      <c r="A1" s="593" t="s">
        <v>427</v>
      </c>
      <c r="B1" s="595"/>
    </row>
    <row r="2" ht="12">
      <c r="C2" s="346" t="s">
        <v>314</v>
      </c>
    </row>
    <row r="4" ht="12">
      <c r="B4" s="598" t="s">
        <v>309</v>
      </c>
    </row>
    <row r="5" spans="1:2" ht="15.75">
      <c r="A5" s="601" t="s">
        <v>429</v>
      </c>
      <c r="B5" s="602"/>
    </row>
    <row r="6" spans="1:2" ht="12">
      <c r="A6" s="603" t="s">
        <v>259</v>
      </c>
      <c r="B6" s="604"/>
    </row>
    <row r="7" spans="1:2" ht="12">
      <c r="A7" s="605" t="s">
        <v>448</v>
      </c>
      <c r="B7" s="606">
        <v>600</v>
      </c>
    </row>
    <row r="8" spans="1:2" ht="12">
      <c r="A8" s="603" t="s">
        <v>430</v>
      </c>
      <c r="B8" s="604"/>
    </row>
    <row r="9" spans="1:2" ht="12">
      <c r="A9" s="607" t="s">
        <v>447</v>
      </c>
      <c r="B9" s="606">
        <v>825</v>
      </c>
    </row>
    <row r="10" spans="1:2" ht="12">
      <c r="A10" s="584" t="s">
        <v>249</v>
      </c>
      <c r="B10" s="606">
        <v>-90</v>
      </c>
    </row>
    <row r="11" spans="1:2" ht="12">
      <c r="A11" s="584"/>
      <c r="B11" s="604"/>
    </row>
    <row r="12" spans="1:2" ht="13.5" customHeight="1">
      <c r="A12" s="608" t="s">
        <v>431</v>
      </c>
      <c r="B12" s="609">
        <f>SUM(B7:B11)</f>
        <v>1335</v>
      </c>
    </row>
    <row r="13" ht="13.5" customHeight="1">
      <c r="B13" s="598"/>
    </row>
    <row r="14" ht="12">
      <c r="B14" s="598"/>
    </row>
    <row r="15" spans="1:3" s="594" customFormat="1" ht="15.75">
      <c r="A15" s="601" t="s">
        <v>428</v>
      </c>
      <c r="B15" s="612"/>
      <c r="C15" s="600"/>
    </row>
    <row r="16" spans="1:2" ht="15.75">
      <c r="A16" s="613" t="s">
        <v>164</v>
      </c>
      <c r="B16" s="591"/>
    </row>
    <row r="17" spans="1:2" ht="12">
      <c r="A17" s="603" t="s">
        <v>22</v>
      </c>
      <c r="B17" s="591"/>
    </row>
    <row r="18" spans="1:2" ht="12">
      <c r="A18" s="584" t="s">
        <v>424</v>
      </c>
      <c r="B18" s="591">
        <v>20</v>
      </c>
    </row>
    <row r="19" spans="1:2" ht="12">
      <c r="A19" s="584"/>
      <c r="B19" s="591"/>
    </row>
    <row r="20" spans="1:2" ht="15.75">
      <c r="A20" s="613" t="s">
        <v>186</v>
      </c>
      <c r="B20" s="591"/>
    </row>
    <row r="21" spans="1:2" ht="12">
      <c r="A21" s="603" t="s">
        <v>3</v>
      </c>
      <c r="B21" s="591"/>
    </row>
    <row r="22" spans="1:2" ht="12">
      <c r="A22" s="584" t="s">
        <v>425</v>
      </c>
      <c r="B22" s="591">
        <v>95</v>
      </c>
    </row>
    <row r="23" spans="1:2" ht="12">
      <c r="A23" s="603" t="s">
        <v>111</v>
      </c>
      <c r="B23" s="591"/>
    </row>
    <row r="24" spans="1:2" ht="12">
      <c r="A24" s="614" t="s">
        <v>378</v>
      </c>
      <c r="B24" s="591">
        <v>10</v>
      </c>
    </row>
    <row r="25" spans="1:2" ht="12">
      <c r="A25" s="615" t="s">
        <v>379</v>
      </c>
      <c r="B25" s="591">
        <v>-40</v>
      </c>
    </row>
    <row r="26" spans="1:2" ht="12">
      <c r="A26" s="616" t="s">
        <v>426</v>
      </c>
      <c r="B26" s="591"/>
    </row>
    <row r="27" spans="1:2" ht="12">
      <c r="A27" s="614" t="s">
        <v>4</v>
      </c>
      <c r="B27" s="591">
        <v>-40</v>
      </c>
    </row>
    <row r="28" spans="1:2" ht="12">
      <c r="A28" s="616" t="s">
        <v>42</v>
      </c>
      <c r="B28" s="591"/>
    </row>
    <row r="29" spans="1:2" ht="12">
      <c r="A29" s="614" t="s">
        <v>395</v>
      </c>
      <c r="B29" s="591">
        <v>16</v>
      </c>
    </row>
    <row r="30" spans="1:2" ht="12">
      <c r="A30" s="614" t="s">
        <v>396</v>
      </c>
      <c r="B30" s="591">
        <v>8</v>
      </c>
    </row>
    <row r="31" spans="1:2" ht="12">
      <c r="A31" s="599" t="s">
        <v>315</v>
      </c>
      <c r="B31" s="591"/>
    </row>
    <row r="32" spans="1:2" ht="12">
      <c r="A32" s="10" t="s">
        <v>364</v>
      </c>
      <c r="B32" s="591">
        <v>-80</v>
      </c>
    </row>
    <row r="33" spans="1:2" ht="12">
      <c r="A33" s="20"/>
      <c r="B33" s="591"/>
    </row>
    <row r="34" spans="1:2" ht="15.75">
      <c r="A34" s="613" t="s">
        <v>198</v>
      </c>
      <c r="B34" s="591"/>
    </row>
    <row r="35" spans="1:2" ht="12">
      <c r="A35" s="603" t="s">
        <v>49</v>
      </c>
      <c r="B35" s="591"/>
    </row>
    <row r="36" spans="1:2" ht="12">
      <c r="A36" s="584" t="s">
        <v>34</v>
      </c>
      <c r="B36" s="591">
        <v>5</v>
      </c>
    </row>
    <row r="37" spans="1:2" ht="12">
      <c r="A37" s="584"/>
      <c r="B37" s="591"/>
    </row>
    <row r="38" spans="1:2" ht="15.75">
      <c r="A38" s="613" t="s">
        <v>53</v>
      </c>
      <c r="B38" s="591"/>
    </row>
    <row r="39" spans="1:2" ht="12">
      <c r="A39" s="599" t="s">
        <v>248</v>
      </c>
      <c r="B39" s="591"/>
    </row>
    <row r="40" spans="1:2" ht="12">
      <c r="A40" s="614" t="s">
        <v>146</v>
      </c>
      <c r="B40" s="591">
        <v>1190</v>
      </c>
    </row>
    <row r="41" spans="1:2" ht="12">
      <c r="A41" s="584" t="s">
        <v>235</v>
      </c>
      <c r="B41" s="591">
        <f>-30-70</f>
        <v>-100</v>
      </c>
    </row>
    <row r="42" spans="1:2" ht="12">
      <c r="A42" s="584"/>
      <c r="B42" s="591"/>
    </row>
    <row r="43" spans="1:2" ht="15.75">
      <c r="A43" s="613" t="s">
        <v>207</v>
      </c>
      <c r="B43" s="591"/>
    </row>
    <row r="44" spans="1:2" ht="12">
      <c r="A44" s="603" t="s">
        <v>211</v>
      </c>
      <c r="B44" s="591"/>
    </row>
    <row r="45" spans="1:2" ht="12">
      <c r="A45" s="584" t="s">
        <v>87</v>
      </c>
      <c r="B45" s="591">
        <f>200-80</f>
        <v>120</v>
      </c>
    </row>
    <row r="46" spans="1:2" ht="12">
      <c r="A46" s="584" t="s">
        <v>446</v>
      </c>
      <c r="B46" s="591">
        <v>-150</v>
      </c>
    </row>
    <row r="47" spans="1:2" ht="12">
      <c r="A47" s="584" t="s">
        <v>362</v>
      </c>
      <c r="B47" s="591">
        <v>10</v>
      </c>
    </row>
    <row r="48" spans="1:2" ht="12">
      <c r="A48" s="584" t="s">
        <v>59</v>
      </c>
      <c r="B48" s="591">
        <v>-24</v>
      </c>
    </row>
    <row r="49" spans="1:2" ht="12">
      <c r="A49" s="584"/>
      <c r="B49" s="591"/>
    </row>
    <row r="50" spans="1:2" ht="15.75">
      <c r="A50" s="613" t="s">
        <v>214</v>
      </c>
      <c r="B50" s="591"/>
    </row>
    <row r="51" spans="1:2" ht="12">
      <c r="A51" s="599" t="s">
        <v>214</v>
      </c>
      <c r="B51" s="591"/>
    </row>
    <row r="52" spans="1:2" ht="12">
      <c r="A52" s="614" t="s">
        <v>216</v>
      </c>
      <c r="B52" s="591">
        <v>147</v>
      </c>
    </row>
    <row r="53" spans="1:2" ht="12">
      <c r="A53" s="614"/>
      <c r="B53" s="591"/>
    </row>
    <row r="54" spans="1:2" ht="12">
      <c r="A54" s="635" t="s">
        <v>442</v>
      </c>
      <c r="B54" s="591">
        <v>-7</v>
      </c>
    </row>
    <row r="55" spans="1:2" ht="12">
      <c r="A55" s="614"/>
      <c r="B55" s="591"/>
    </row>
    <row r="56" spans="1:2" ht="15.75">
      <c r="A56" s="617" t="s">
        <v>432</v>
      </c>
      <c r="B56" s="618">
        <f>B18+B22+B24+B25+B27+B29+B30+B32+B36+B40+B41+B45+B46+B47+B48+B52+B54</f>
        <v>1180</v>
      </c>
    </row>
    <row r="57" ht="12">
      <c r="A57" s="11"/>
    </row>
    <row r="58" spans="1:2" ht="15.75">
      <c r="A58" s="610" t="s">
        <v>433</v>
      </c>
      <c r="B58" s="611">
        <f>B12-B56</f>
        <v>155</v>
      </c>
    </row>
    <row r="59" ht="15.75">
      <c r="A59" s="594"/>
    </row>
    <row r="61" spans="1:2" ht="12">
      <c r="A61" s="523"/>
      <c r="B61" s="596"/>
    </row>
    <row r="62" spans="1:2" ht="13.5">
      <c r="A62" s="519"/>
      <c r="B62" s="346"/>
    </row>
    <row r="63" spans="3:4" ht="12">
      <c r="C63" s="524" t="s">
        <v>324</v>
      </c>
      <c r="D63" s="523" t="s">
        <v>382</v>
      </c>
    </row>
    <row r="64" spans="1:4" ht="12">
      <c r="A64" s="574" t="s">
        <v>245</v>
      </c>
      <c r="B64" s="517" t="s">
        <v>362</v>
      </c>
      <c r="C64" s="520">
        <v>10000</v>
      </c>
      <c r="D64" s="69" t="s">
        <v>384</v>
      </c>
    </row>
    <row r="66" spans="1:4" ht="12">
      <c r="A66" s="69" t="s">
        <v>22</v>
      </c>
      <c r="B66" s="517" t="s">
        <v>365</v>
      </c>
      <c r="C66" s="575">
        <v>20000</v>
      </c>
      <c r="D66" s="69" t="s">
        <v>386</v>
      </c>
    </row>
    <row r="67" ht="12">
      <c r="C67" s="518"/>
    </row>
    <row r="68" spans="1:4" ht="12">
      <c r="A68" s="69" t="s">
        <v>3</v>
      </c>
      <c r="B68" s="517" t="s">
        <v>405</v>
      </c>
      <c r="C68" s="520">
        <v>95000</v>
      </c>
      <c r="D68" s="69" t="s">
        <v>406</v>
      </c>
    </row>
    <row r="70" ht="12">
      <c r="C70" s="518"/>
    </row>
    <row r="71" spans="1:3" ht="12">
      <c r="A71" s="69" t="s">
        <v>111</v>
      </c>
      <c r="B71" s="517" t="s">
        <v>378</v>
      </c>
      <c r="C71" s="520">
        <v>10000</v>
      </c>
    </row>
    <row r="72" spans="1:4" ht="12">
      <c r="A72" s="69" t="s">
        <v>245</v>
      </c>
      <c r="B72" s="517" t="s">
        <v>211</v>
      </c>
      <c r="C72" s="576">
        <v>200000</v>
      </c>
      <c r="D72" s="69" t="s">
        <v>366</v>
      </c>
    </row>
    <row r="73" ht="12">
      <c r="C73" s="576"/>
    </row>
    <row r="74" spans="1:4" ht="12">
      <c r="A74" s="69" t="s">
        <v>49</v>
      </c>
      <c r="B74" s="517" t="s">
        <v>34</v>
      </c>
      <c r="C74" s="576">
        <v>5000</v>
      </c>
      <c r="D74" s="69" t="s">
        <v>407</v>
      </c>
    </row>
    <row r="75" ht="12">
      <c r="C75" s="576"/>
    </row>
    <row r="76" spans="1:2" ht="12">
      <c r="A76" s="72" t="s">
        <v>381</v>
      </c>
      <c r="B76" s="346"/>
    </row>
    <row r="77" spans="1:4" ht="12">
      <c r="A77" s="69" t="s">
        <v>41</v>
      </c>
      <c r="B77" s="517" t="s">
        <v>4</v>
      </c>
      <c r="C77" s="521">
        <v>-40000</v>
      </c>
      <c r="D77" s="69" t="s">
        <v>385</v>
      </c>
    </row>
    <row r="78" spans="1:4" ht="12">
      <c r="A78" s="69" t="s">
        <v>111</v>
      </c>
      <c r="B78" s="517" t="s">
        <v>379</v>
      </c>
      <c r="C78" s="522">
        <v>-40000</v>
      </c>
      <c r="D78" s="69" t="s">
        <v>408</v>
      </c>
    </row>
    <row r="81" spans="1:4" ht="12">
      <c r="A81" s="69" t="s">
        <v>248</v>
      </c>
      <c r="C81" s="521">
        <v>-30000</v>
      </c>
      <c r="D81" s="69" t="s">
        <v>387</v>
      </c>
    </row>
    <row r="82" ht="12">
      <c r="D82" s="69" t="s">
        <v>388</v>
      </c>
    </row>
    <row r="84" spans="1:4" ht="12">
      <c r="A84" s="69" t="s">
        <v>409</v>
      </c>
      <c r="D84" s="69" t="s">
        <v>410</v>
      </c>
    </row>
    <row r="86" spans="1:3" ht="12">
      <c r="A86" s="69" t="s">
        <v>415</v>
      </c>
      <c r="C86" s="521">
        <v>-80000</v>
      </c>
    </row>
    <row r="87" spans="1:3" ht="12">
      <c r="A87" s="69" t="s">
        <v>416</v>
      </c>
      <c r="C87" s="521">
        <v>-80000</v>
      </c>
    </row>
    <row r="89" spans="1:3" ht="12">
      <c r="A89" s="72" t="s">
        <v>389</v>
      </c>
      <c r="B89" s="346"/>
      <c r="C89" s="518"/>
    </row>
    <row r="90" spans="1:4" ht="12">
      <c r="A90" s="69" t="s">
        <v>211</v>
      </c>
      <c r="B90" s="517" t="s">
        <v>59</v>
      </c>
      <c r="C90" s="522">
        <v>-24000</v>
      </c>
      <c r="D90" s="69" t="s">
        <v>392</v>
      </c>
    </row>
    <row r="91" spans="1:4" ht="12">
      <c r="A91" s="69" t="s">
        <v>42</v>
      </c>
      <c r="B91" s="11" t="s">
        <v>390</v>
      </c>
      <c r="C91" s="520">
        <v>16000</v>
      </c>
      <c r="D91" s="69" t="s">
        <v>363</v>
      </c>
    </row>
    <row r="92" spans="1:3" ht="12">
      <c r="A92" s="69" t="s">
        <v>42</v>
      </c>
      <c r="B92" s="11" t="s">
        <v>391</v>
      </c>
      <c r="C92" s="520">
        <v>8000</v>
      </c>
    </row>
    <row r="93" spans="2:3" ht="12">
      <c r="B93" s="11"/>
      <c r="C93" s="520"/>
    </row>
    <row r="94" ht="12">
      <c r="B94" s="69"/>
    </row>
    <row r="95" spans="1:3" ht="12">
      <c r="A95" s="72" t="s">
        <v>393</v>
      </c>
      <c r="B95" s="69"/>
      <c r="C95" s="69"/>
    </row>
    <row r="96" spans="1:3" ht="12">
      <c r="A96" s="69" t="s">
        <v>434</v>
      </c>
      <c r="B96" s="11"/>
      <c r="C96" s="522">
        <f>(4190000-3000000)*-1</f>
        <v>-1190000</v>
      </c>
    </row>
    <row r="97" spans="1:4" ht="12">
      <c r="A97" s="69" t="s">
        <v>248</v>
      </c>
      <c r="C97" s="577">
        <v>70000</v>
      </c>
      <c r="D97" s="69" t="s">
        <v>411</v>
      </c>
    </row>
    <row r="98" spans="1:3" ht="12">
      <c r="A98" s="69" t="s">
        <v>413</v>
      </c>
      <c r="C98" s="577">
        <f>(13856000-13709000)*1</f>
        <v>147000</v>
      </c>
    </row>
    <row r="99" spans="1:3" ht="12">
      <c r="A99" s="72" t="s">
        <v>357</v>
      </c>
      <c r="C99" s="517">
        <f>C64+C66+C68+C71+C72+C74+C77+C78+C81+C86+C87+C90+C91+C92+C94+C96+C97+C98</f>
        <v>-903000</v>
      </c>
    </row>
    <row r="100" ht="12">
      <c r="C100" s="521"/>
    </row>
    <row r="101" ht="12">
      <c r="C101" s="520"/>
    </row>
    <row r="102" spans="1:4" ht="12">
      <c r="A102" s="578" t="s">
        <v>383</v>
      </c>
      <c r="B102" s="520"/>
      <c r="C102" s="520">
        <f>3580000-2155000</f>
        <v>1425000</v>
      </c>
      <c r="D102" s="69" t="s">
        <v>412</v>
      </c>
    </row>
    <row r="103" spans="1:3" ht="12">
      <c r="A103" s="69" t="s">
        <v>414</v>
      </c>
      <c r="C103" s="521">
        <v>-90000</v>
      </c>
    </row>
    <row r="104" spans="1:3" ht="12">
      <c r="A104" s="72" t="s">
        <v>435</v>
      </c>
      <c r="C104" s="346">
        <f>SUM(C102:C103)</f>
        <v>1335000</v>
      </c>
    </row>
    <row r="105" spans="1:3" ht="12">
      <c r="A105" s="72"/>
      <c r="B105" s="346"/>
      <c r="C105" s="346"/>
    </row>
    <row r="106" ht="12">
      <c r="B106" s="69"/>
    </row>
    <row r="107" spans="2:3" ht="12">
      <c r="B107" s="69"/>
      <c r="C107" s="69"/>
    </row>
    <row r="108" spans="1:3" ht="12">
      <c r="A108" s="72"/>
      <c r="B108" s="346"/>
      <c r="C108" s="346"/>
    </row>
    <row r="109" spans="1:3" ht="12">
      <c r="A109" s="579" t="s">
        <v>417</v>
      </c>
      <c r="B109" s="597"/>
      <c r="C109" s="580">
        <f>100000+(C72+C84)*0.75</f>
        <v>250000</v>
      </c>
    </row>
    <row r="112" ht="12">
      <c r="C112" s="518"/>
    </row>
    <row r="113" spans="1:4" ht="12">
      <c r="A113" s="581" t="s">
        <v>418</v>
      </c>
      <c r="B113" s="582"/>
      <c r="C113" s="582"/>
      <c r="D113" s="583"/>
    </row>
    <row r="114" spans="1:4" ht="12">
      <c r="A114" s="584"/>
      <c r="B114" s="585"/>
      <c r="C114" s="585"/>
      <c r="D114" s="586"/>
    </row>
    <row r="115" spans="1:4" ht="12">
      <c r="A115" s="584" t="s">
        <v>419</v>
      </c>
      <c r="B115" s="585"/>
      <c r="C115" s="585"/>
      <c r="D115" s="586" t="s">
        <v>420</v>
      </c>
    </row>
    <row r="116" spans="1:4" ht="12">
      <c r="A116" s="587" t="s">
        <v>421</v>
      </c>
      <c r="B116" s="588"/>
      <c r="C116" s="588"/>
      <c r="D116" s="589"/>
    </row>
    <row r="119" spans="1:3" ht="12">
      <c r="A119" s="581" t="s">
        <v>422</v>
      </c>
      <c r="B119" s="582"/>
      <c r="C119" s="590"/>
    </row>
    <row r="120" spans="1:3" ht="12">
      <c r="A120" s="584" t="s">
        <v>380</v>
      </c>
      <c r="B120" s="585"/>
      <c r="C120" s="591">
        <f>3000000-3190000</f>
        <v>-190000</v>
      </c>
    </row>
    <row r="121" spans="1:3" ht="12">
      <c r="A121" s="584" t="s">
        <v>423</v>
      </c>
      <c r="B121" s="585"/>
      <c r="C121" s="592">
        <f>2550000-2155000</f>
        <v>395000</v>
      </c>
    </row>
    <row r="122" spans="1:3" ht="12">
      <c r="A122" s="587"/>
      <c r="B122" s="588"/>
      <c r="C122" s="592">
        <f>SUM(C120:C121)</f>
        <v>205000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A14" sqref="A14"/>
    </sheetView>
  </sheetViews>
  <sheetFormatPr defaultColWidth="9.140625" defaultRowHeight="12.75"/>
  <cols>
    <col min="1" max="1" width="26.8515625" style="0" bestFit="1" customWidth="1"/>
    <col min="2" max="2" width="12.57421875" style="0" customWidth="1"/>
    <col min="3" max="4" width="13.8515625" style="0" customWidth="1"/>
    <col min="7" max="7" width="0" style="0" hidden="1" customWidth="1"/>
  </cols>
  <sheetData>
    <row r="1" spans="13:18" ht="12.75">
      <c r="M1" s="499"/>
      <c r="N1" s="499"/>
      <c r="O1" s="499"/>
      <c r="P1" s="499"/>
      <c r="Q1" s="499"/>
      <c r="R1" s="499"/>
    </row>
    <row r="2" spans="5:7" ht="12.75" hidden="1">
      <c r="E2">
        <v>2001</v>
      </c>
      <c r="F2">
        <v>2002</v>
      </c>
      <c r="G2">
        <v>2003</v>
      </c>
    </row>
    <row r="3" spans="1:7" ht="12.75" hidden="1">
      <c r="A3" t="s">
        <v>369</v>
      </c>
      <c r="E3">
        <v>9114</v>
      </c>
      <c r="F3">
        <v>7246</v>
      </c>
      <c r="G3" s="493">
        <v>7435</v>
      </c>
    </row>
    <row r="4" spans="1:7" ht="12.75" hidden="1">
      <c r="A4" t="s">
        <v>370</v>
      </c>
      <c r="E4">
        <v>1714</v>
      </c>
      <c r="F4">
        <v>0</v>
      </c>
      <c r="G4">
        <v>492</v>
      </c>
    </row>
    <row r="5" ht="12.75" hidden="1"/>
    <row r="6" spans="1:7" ht="12.75" hidden="1">
      <c r="A6" t="s">
        <v>371</v>
      </c>
      <c r="E6">
        <v>9114</v>
      </c>
      <c r="F6">
        <v>8842</v>
      </c>
      <c r="G6">
        <v>7435</v>
      </c>
    </row>
    <row r="7" spans="1:7" ht="12.75" hidden="1">
      <c r="A7" t="s">
        <v>372</v>
      </c>
      <c r="F7">
        <f>F3-F6</f>
        <v>-1596</v>
      </c>
      <c r="G7" s="493">
        <f>G3-G6</f>
        <v>0</v>
      </c>
    </row>
    <row r="9" spans="2:7" ht="12.75">
      <c r="B9">
        <v>2006</v>
      </c>
      <c r="C9">
        <v>2005</v>
      </c>
      <c r="D9">
        <v>2004</v>
      </c>
      <c r="E9">
        <v>2003</v>
      </c>
      <c r="F9">
        <v>2002</v>
      </c>
      <c r="G9">
        <v>2001</v>
      </c>
    </row>
    <row r="10" spans="1:7" ht="12.75">
      <c r="A10" t="s">
        <v>373</v>
      </c>
      <c r="B10" s="493">
        <f>'[10]UB reserv 2006'!C19/1000</f>
        <v>9512</v>
      </c>
      <c r="C10" s="493">
        <f>'[10]UB reserv 2005 new'!C26/1000</f>
        <v>8467.5</v>
      </c>
      <c r="D10">
        <v>7885</v>
      </c>
      <c r="E10" s="493">
        <v>7435</v>
      </c>
      <c r="F10" s="493">
        <v>7246</v>
      </c>
      <c r="G10" s="493">
        <v>8745</v>
      </c>
    </row>
    <row r="11" spans="1:7" ht="12.75">
      <c r="A11" t="s">
        <v>374</v>
      </c>
      <c r="B11" s="493">
        <f>'[10]UB reserv 2006'!C25/1000</f>
        <v>2500</v>
      </c>
      <c r="C11" s="493">
        <f>'[10]UB reserv 2005 new'!C25/1000</f>
        <v>2707</v>
      </c>
      <c r="D11">
        <v>1041</v>
      </c>
      <c r="E11" s="493">
        <v>934</v>
      </c>
      <c r="F11" s="493">
        <v>0</v>
      </c>
      <c r="G11" s="493">
        <v>2083</v>
      </c>
    </row>
    <row r="12" spans="1:9" ht="12.75">
      <c r="A12" t="s">
        <v>370</v>
      </c>
      <c r="C12" s="493">
        <f>'[10]UB reserv 2005 new'!C28/1000</f>
        <v>1537.5</v>
      </c>
      <c r="D12">
        <v>1108</v>
      </c>
      <c r="E12" s="493">
        <f>E14-E11-E10</f>
        <v>1458</v>
      </c>
      <c r="F12" s="493">
        <v>0</v>
      </c>
      <c r="G12" s="493"/>
      <c r="I12" s="493"/>
    </row>
    <row r="13" spans="5:9" ht="12.75">
      <c r="E13" s="493"/>
      <c r="F13" s="493"/>
      <c r="G13" s="493"/>
      <c r="I13" s="493"/>
    </row>
    <row r="14" spans="1:9" ht="12.75">
      <c r="A14" t="s">
        <v>375</v>
      </c>
      <c r="B14" s="493">
        <f>'[10]UB reserv 2006'!C23/1000</f>
        <v>12010</v>
      </c>
      <c r="C14" s="493">
        <f>'[10]UB reserv 2005 new'!C23/1000</f>
        <v>12712</v>
      </c>
      <c r="D14">
        <v>10034</v>
      </c>
      <c r="E14">
        <v>9827</v>
      </c>
      <c r="F14">
        <v>7246</v>
      </c>
      <c r="G14">
        <v>10828</v>
      </c>
      <c r="I14" s="493"/>
    </row>
    <row r="15" spans="1:7" ht="12.75">
      <c r="A15" t="s">
        <v>376</v>
      </c>
      <c r="B15" s="493">
        <f>'[10]UB reserv 2006'!C19/1000</f>
        <v>9512</v>
      </c>
      <c r="C15">
        <v>8468</v>
      </c>
      <c r="D15">
        <v>7885</v>
      </c>
      <c r="E15">
        <v>7435</v>
      </c>
      <c r="F15">
        <v>8745</v>
      </c>
      <c r="G15">
        <v>9114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4"/>
  <sheetViews>
    <sheetView showGridLines="0" workbookViewId="0" topLeftCell="A23">
      <selection activeCell="N58" sqref="N58"/>
    </sheetView>
  </sheetViews>
  <sheetFormatPr defaultColWidth="9.140625" defaultRowHeight="12.75"/>
  <cols>
    <col min="1" max="1" width="28.140625" style="381" customWidth="1"/>
    <col min="2" max="2" width="9.28125" style="351" customWidth="1"/>
    <col min="3" max="3" width="9.7109375" style="352" bestFit="1" customWidth="1"/>
    <col min="4" max="4" width="8.28125" style="353" customWidth="1"/>
    <col min="5" max="5" width="7.28125" style="354" customWidth="1"/>
    <col min="6" max="6" width="7.00390625" style="354" bestFit="1" customWidth="1"/>
    <col min="7" max="7" width="7.28125" style="352" customWidth="1"/>
    <col min="8" max="8" width="8.7109375" style="352" customWidth="1"/>
    <col min="9" max="9" width="9.28125" style="351" bestFit="1" customWidth="1"/>
    <col min="10" max="10" width="9.57421875" style="352" bestFit="1" customWidth="1"/>
    <col min="11" max="11" width="8.00390625" style="358" customWidth="1"/>
    <col min="12" max="12" width="2.421875" style="351" customWidth="1"/>
    <col min="13" max="13" width="6.57421875" style="351" customWidth="1"/>
    <col min="14" max="14" width="7.00390625" style="356" customWidth="1"/>
    <col min="15" max="15" width="8.8515625" style="356" customWidth="1"/>
    <col min="16" max="16384" width="10.28125" style="351" customWidth="1"/>
  </cols>
  <sheetData>
    <row r="1" spans="1:11" ht="12.75">
      <c r="A1" s="350"/>
      <c r="I1" s="355"/>
      <c r="J1" s="507" t="s">
        <v>359</v>
      </c>
      <c r="K1" s="355"/>
    </row>
    <row r="2" spans="1:10" ht="12.75">
      <c r="A2" s="361" t="s">
        <v>358</v>
      </c>
      <c r="B2" s="355"/>
      <c r="C2" s="357"/>
      <c r="J2" s="507"/>
    </row>
    <row r="3" spans="1:6" ht="12.75">
      <c r="A3" s="423" t="s">
        <v>317</v>
      </c>
      <c r="B3" s="357"/>
      <c r="C3" s="357"/>
      <c r="D3" s="359"/>
      <c r="E3" s="360"/>
      <c r="F3" s="360"/>
    </row>
    <row r="4" spans="1:2" ht="6.75" customHeight="1">
      <c r="A4" s="361"/>
      <c r="B4" s="362"/>
    </row>
    <row r="5" spans="1:13" ht="12.75">
      <c r="A5" s="361"/>
      <c r="B5" s="363" t="s">
        <v>318</v>
      </c>
      <c r="C5" s="364"/>
      <c r="D5" s="365"/>
      <c r="E5" s="363" t="s">
        <v>319</v>
      </c>
      <c r="F5" s="366"/>
      <c r="G5" s="367" t="s">
        <v>319</v>
      </c>
      <c r="H5" s="368"/>
      <c r="I5" s="369"/>
      <c r="J5" s="370"/>
      <c r="K5" s="371"/>
      <c r="L5" s="372"/>
      <c r="M5" s="372"/>
    </row>
    <row r="6" spans="1:17" ht="12.75">
      <c r="A6" s="361"/>
      <c r="B6" s="373" t="s">
        <v>320</v>
      </c>
      <c r="C6" s="374"/>
      <c r="D6" s="375"/>
      <c r="E6" s="373" t="s">
        <v>321</v>
      </c>
      <c r="F6" s="376"/>
      <c r="G6" s="373" t="s">
        <v>322</v>
      </c>
      <c r="H6" s="377"/>
      <c r="I6" s="378" t="s">
        <v>35</v>
      </c>
      <c r="J6" s="379" t="s">
        <v>35</v>
      </c>
      <c r="K6" s="380"/>
      <c r="L6" s="372"/>
      <c r="M6" s="372"/>
      <c r="N6" s="638" t="s">
        <v>31</v>
      </c>
      <c r="O6" s="638"/>
      <c r="P6" s="638" t="s">
        <v>31</v>
      </c>
      <c r="Q6" s="638"/>
    </row>
    <row r="7" spans="2:17" ht="12.75">
      <c r="B7" s="382" t="s">
        <v>31</v>
      </c>
      <c r="C7" s="383" t="s">
        <v>31</v>
      </c>
      <c r="D7" s="384"/>
      <c r="E7" s="385" t="s">
        <v>360</v>
      </c>
      <c r="F7" s="376"/>
      <c r="G7" s="373">
        <v>2005</v>
      </c>
      <c r="H7" s="377"/>
      <c r="I7" s="378" t="s">
        <v>323</v>
      </c>
      <c r="J7" s="379" t="s">
        <v>323</v>
      </c>
      <c r="K7" s="380"/>
      <c r="L7" s="372"/>
      <c r="M7" s="372"/>
      <c r="N7" s="639">
        <v>2005</v>
      </c>
      <c r="O7" s="639"/>
      <c r="P7" s="639">
        <v>2006</v>
      </c>
      <c r="Q7" s="639"/>
    </row>
    <row r="8" spans="2:17" ht="12.75">
      <c r="B8" s="386">
        <v>2006</v>
      </c>
      <c r="C8" s="387">
        <v>2005</v>
      </c>
      <c r="D8" s="388" t="s">
        <v>324</v>
      </c>
      <c r="E8" s="389" t="s">
        <v>325</v>
      </c>
      <c r="F8" s="390" t="s">
        <v>326</v>
      </c>
      <c r="G8" s="391" t="s">
        <v>325</v>
      </c>
      <c r="H8" s="392" t="s">
        <v>326</v>
      </c>
      <c r="I8" s="393">
        <v>2006</v>
      </c>
      <c r="J8" s="394">
        <v>2005</v>
      </c>
      <c r="K8" s="395" t="s">
        <v>324</v>
      </c>
      <c r="L8" s="396"/>
      <c r="M8" s="396"/>
      <c r="N8" s="397" t="s">
        <v>325</v>
      </c>
      <c r="O8" s="398" t="s">
        <v>326</v>
      </c>
      <c r="P8" s="397" t="s">
        <v>325</v>
      </c>
      <c r="Q8" s="398" t="s">
        <v>326</v>
      </c>
    </row>
    <row r="9" spans="1:17" ht="12.75">
      <c r="A9" s="361" t="s">
        <v>220</v>
      </c>
      <c r="D9" s="399"/>
      <c r="E9" s="351"/>
      <c r="F9" s="400"/>
      <c r="H9" s="401"/>
      <c r="I9" s="400"/>
      <c r="J9" s="402"/>
      <c r="K9" s="403"/>
      <c r="L9" s="372"/>
      <c r="M9" s="372"/>
      <c r="P9" s="356"/>
      <c r="Q9" s="356"/>
    </row>
    <row r="10" spans="1:17" ht="12.75">
      <c r="A10" s="508" t="s">
        <v>161</v>
      </c>
      <c r="B10" s="486">
        <f>'kostnader bil 3'!B10</f>
        <v>815</v>
      </c>
      <c r="C10" s="486">
        <f>'[7]verksamplan bil 3'!F7</f>
        <v>600</v>
      </c>
      <c r="D10" s="487">
        <f>+C10-B10</f>
        <v>-215</v>
      </c>
      <c r="E10" s="488">
        <f>(P10/$P$55)*$B$77</f>
        <v>650.1223021582733</v>
      </c>
      <c r="F10" s="489">
        <f>(Q10/$Q$55)*$B$79</f>
        <v>825.4533280938275</v>
      </c>
      <c r="G10" s="488">
        <f>(N10/$N$55)*$C$77</f>
        <v>680.3626062322946</v>
      </c>
      <c r="H10" s="489">
        <f>(O10/$O$55)*$C$79</f>
        <v>957.7851770189371</v>
      </c>
      <c r="I10" s="489">
        <f>B10+E10+F10</f>
        <v>2290.575630252101</v>
      </c>
      <c r="J10" s="489">
        <f>C10+G10+H10</f>
        <v>2238.147783251232</v>
      </c>
      <c r="K10" s="489">
        <f>+J10-I10</f>
        <v>-52.42784700086895</v>
      </c>
      <c r="L10" s="409"/>
      <c r="M10" s="409"/>
      <c r="N10" s="356">
        <v>1.44</v>
      </c>
      <c r="O10" s="356">
        <v>1.44</v>
      </c>
      <c r="P10" s="410">
        <v>1.15</v>
      </c>
      <c r="Q10" s="410">
        <v>1.15</v>
      </c>
    </row>
    <row r="11" spans="1:17" ht="12.75">
      <c r="A11" s="423" t="s">
        <v>327</v>
      </c>
      <c r="B11" s="404">
        <f>'kostnader bil 3'!B11</f>
        <v>3</v>
      </c>
      <c r="C11" s="405">
        <v>0</v>
      </c>
      <c r="D11" s="406">
        <f>+C11-B11</f>
        <v>-3</v>
      </c>
      <c r="E11" s="358">
        <f>(P11/$P$55)*$B$77</f>
        <v>282.66187050359713</v>
      </c>
      <c r="F11" s="403">
        <f>(Q11/$Q$55)*$B$79</f>
        <v>358.8927513451424</v>
      </c>
      <c r="G11" s="407">
        <f>(N11/$N$55)*$C$77</f>
        <v>236.23701605288005</v>
      </c>
      <c r="H11" s="408">
        <f>(O11/$O$55)*$C$79</f>
        <v>332.5642975760198</v>
      </c>
      <c r="I11" s="403">
        <f>B11+E11+F11</f>
        <v>644.5546218487395</v>
      </c>
      <c r="J11" s="408">
        <f>C11+G11+H11</f>
        <v>568.8013136288998</v>
      </c>
      <c r="K11" s="403">
        <f>+J11-I11</f>
        <v>-75.75330821983971</v>
      </c>
      <c r="L11" s="409"/>
      <c r="M11" s="409">
        <f>E11+F11</f>
        <v>641.5546218487395</v>
      </c>
      <c r="N11" s="356">
        <v>0.5</v>
      </c>
      <c r="O11" s="356">
        <v>0.5</v>
      </c>
      <c r="P11" s="410">
        <v>0.5</v>
      </c>
      <c r="Q11" s="410">
        <v>0.5</v>
      </c>
    </row>
    <row r="12" spans="1:17" ht="12.75">
      <c r="A12" s="508" t="s">
        <v>51</v>
      </c>
      <c r="B12" s="486">
        <f>'kostnader bil 3'!B12</f>
        <v>340</v>
      </c>
      <c r="C12" s="486">
        <f>'[7]verksamplan bil 3'!F9</f>
        <v>265</v>
      </c>
      <c r="D12" s="487">
        <f>+C12-B12</f>
        <v>-75</v>
      </c>
      <c r="E12" s="488">
        <f>(P12/$P$55)*$B$77</f>
        <v>141.33093525179856</v>
      </c>
      <c r="F12" s="489">
        <f>(Q12/$Q$55)*$B$79</f>
        <v>179.4463756725712</v>
      </c>
      <c r="G12" s="488">
        <f>(N12/$N$55)*$C$77</f>
        <v>118.11850802644003</v>
      </c>
      <c r="H12" s="489">
        <f>(O12/$O$55)*$C$79</f>
        <v>166.2821487880099</v>
      </c>
      <c r="I12" s="489">
        <f>B12+E12+F12</f>
        <v>660.7773109243698</v>
      </c>
      <c r="J12" s="489">
        <f>C12+G12+H12</f>
        <v>549.4006568144499</v>
      </c>
      <c r="K12" s="489">
        <f>+J12-I12</f>
        <v>-111.37665410991985</v>
      </c>
      <c r="L12" s="409"/>
      <c r="M12" s="409">
        <f aca="true" t="shared" si="0" ref="M12:M55">E12+F12</f>
        <v>320.7773109243698</v>
      </c>
      <c r="N12" s="356">
        <v>0.25</v>
      </c>
      <c r="O12" s="356">
        <v>0.25</v>
      </c>
      <c r="P12" s="410">
        <v>0.25</v>
      </c>
      <c r="Q12" s="410">
        <v>0.25</v>
      </c>
    </row>
    <row r="13" spans="1:17" ht="12.75">
      <c r="A13" s="423" t="s">
        <v>328</v>
      </c>
      <c r="B13" s="404">
        <f>'kostnader bil 3'!B13</f>
        <v>290</v>
      </c>
      <c r="C13" s="405">
        <f>'[7]verksamplan bil 3'!F10</f>
        <v>260</v>
      </c>
      <c r="D13" s="406">
        <f>+C13-B13</f>
        <v>-30</v>
      </c>
      <c r="E13" s="358">
        <f>(P13/$P$55)*$B$77</f>
        <v>565.3237410071943</v>
      </c>
      <c r="F13" s="403">
        <f>(Q13/$Q$55)*$B$79</f>
        <v>717.7855026902848</v>
      </c>
      <c r="G13" s="407">
        <f>(N13/$N$55)*$C$77</f>
        <v>472.4740321057601</v>
      </c>
      <c r="H13" s="408">
        <f>(O13/$O$55)*$C$79</f>
        <v>665.1285951520396</v>
      </c>
      <c r="I13" s="403">
        <f>B13+E13+F13</f>
        <v>1573.109243697479</v>
      </c>
      <c r="J13" s="408">
        <f>C13+G13+H13</f>
        <v>1397.6026272577997</v>
      </c>
      <c r="K13" s="403">
        <f>+J13-I13</f>
        <v>-175.50661643967942</v>
      </c>
      <c r="L13" s="409"/>
      <c r="M13" s="409">
        <f t="shared" si="0"/>
        <v>1283.109243697479</v>
      </c>
      <c r="N13" s="356">
        <v>1</v>
      </c>
      <c r="O13" s="356">
        <v>1</v>
      </c>
      <c r="P13" s="410">
        <v>1</v>
      </c>
      <c r="Q13" s="410">
        <v>1</v>
      </c>
    </row>
    <row r="14" spans="1:17" ht="12.75">
      <c r="A14" s="411" t="s">
        <v>35</v>
      </c>
      <c r="B14" s="412">
        <f>SUM(B10:B13)</f>
        <v>1448</v>
      </c>
      <c r="C14" s="413">
        <f>SUM(C10:C13)</f>
        <v>1125</v>
      </c>
      <c r="D14" s="414">
        <f>+C14-B14</f>
        <v>-323</v>
      </c>
      <c r="E14" s="412">
        <f aca="true" t="shared" si="1" ref="E14:J14">SUM(E10:E13)</f>
        <v>1639.4388489208632</v>
      </c>
      <c r="F14" s="415">
        <f t="shared" si="1"/>
        <v>2081.577957801826</v>
      </c>
      <c r="G14" s="413">
        <f t="shared" si="1"/>
        <v>1507.1921624173747</v>
      </c>
      <c r="H14" s="416">
        <f t="shared" si="1"/>
        <v>2121.7602185350065</v>
      </c>
      <c r="I14" s="415">
        <f t="shared" si="1"/>
        <v>5169.01680672269</v>
      </c>
      <c r="J14" s="416">
        <f t="shared" si="1"/>
        <v>4753.952380952382</v>
      </c>
      <c r="K14" s="417">
        <f>+J14-I14</f>
        <v>-415.06442577030793</v>
      </c>
      <c r="L14" s="418"/>
      <c r="M14" s="409">
        <f t="shared" si="0"/>
        <v>3721.016806722689</v>
      </c>
      <c r="N14" s="419"/>
      <c r="O14" s="419"/>
      <c r="P14" s="509"/>
      <c r="Q14" s="509"/>
    </row>
    <row r="15" spans="4:17" ht="8.25" customHeight="1">
      <c r="D15" s="420"/>
      <c r="E15" s="358"/>
      <c r="F15" s="358"/>
      <c r="H15" s="357"/>
      <c r="J15" s="407"/>
      <c r="M15" s="409">
        <f t="shared" si="0"/>
        <v>0</v>
      </c>
      <c r="P15" s="410"/>
      <c r="Q15" s="410"/>
    </row>
    <row r="16" spans="1:17" ht="12.75">
      <c r="A16" s="355" t="s">
        <v>222</v>
      </c>
      <c r="D16" s="420"/>
      <c r="E16" s="358"/>
      <c r="F16" s="358"/>
      <c r="H16" s="357"/>
      <c r="J16" s="407"/>
      <c r="M16" s="409">
        <f t="shared" si="0"/>
        <v>0</v>
      </c>
      <c r="P16" s="410"/>
      <c r="Q16" s="410"/>
    </row>
    <row r="17" spans="1:17" ht="12.75">
      <c r="A17" s="508" t="s">
        <v>329</v>
      </c>
      <c r="B17" s="486">
        <f>'kostnader bil 3'!B17</f>
        <v>477</v>
      </c>
      <c r="C17" s="486">
        <f>'[7]verksamplan bil 3'!F14</f>
        <v>422</v>
      </c>
      <c r="D17" s="487">
        <f aca="true" t="shared" si="2" ref="D17:D24">+C17-B17</f>
        <v>-55</v>
      </c>
      <c r="E17" s="488">
        <f aca="true" t="shared" si="3" ref="E17:E23">(P17/$P$55)*$B$77</f>
        <v>288.31510791366907</v>
      </c>
      <c r="F17" s="489">
        <f aca="true" t="shared" si="4" ref="F17:F23">(Q17/$Q$55)*$B$79</f>
        <v>366.0706063720453</v>
      </c>
      <c r="G17" s="488">
        <f aca="true" t="shared" si="5" ref="G17:G22">(N17/$N$55)*$C$77</f>
        <v>236.23701605288005</v>
      </c>
      <c r="H17" s="489">
        <f aca="true" t="shared" si="6" ref="H17:H22">(O17/$O$55)*$C$79</f>
        <v>332.5642975760198</v>
      </c>
      <c r="I17" s="489">
        <f aca="true" t="shared" si="7" ref="I17:I23">B17+E17+F17</f>
        <v>1131.3857142857144</v>
      </c>
      <c r="J17" s="489">
        <f aca="true" t="shared" si="8" ref="J17:J22">C17+G17+H17</f>
        <v>990.8013136288998</v>
      </c>
      <c r="K17" s="489">
        <f aca="true" t="shared" si="9" ref="K17:K24">+J17-I17</f>
        <v>-140.58440065681452</v>
      </c>
      <c r="L17" s="409"/>
      <c r="M17" s="409">
        <f t="shared" si="0"/>
        <v>654.3857142857144</v>
      </c>
      <c r="N17" s="356">
        <v>0.5</v>
      </c>
      <c r="O17" s="356">
        <v>0.5</v>
      </c>
      <c r="P17" s="410">
        <v>0.51</v>
      </c>
      <c r="Q17" s="410">
        <v>0.51</v>
      </c>
    </row>
    <row r="18" spans="1:17" ht="12.75">
      <c r="A18" s="423" t="s">
        <v>330</v>
      </c>
      <c r="B18" s="404">
        <f>'kostnader bil 3'!B18</f>
        <v>198</v>
      </c>
      <c r="C18" s="405">
        <f>'[7]verksamplan bil 3'!F15</f>
        <v>187</v>
      </c>
      <c r="D18" s="406">
        <f t="shared" si="2"/>
        <v>-11</v>
      </c>
      <c r="E18" s="358">
        <f t="shared" si="3"/>
        <v>514.4446043165467</v>
      </c>
      <c r="F18" s="403">
        <f t="shared" si="4"/>
        <v>653.1848074481592</v>
      </c>
      <c r="G18" s="407">
        <f t="shared" si="5"/>
        <v>472.4740321057601</v>
      </c>
      <c r="H18" s="408">
        <f t="shared" si="6"/>
        <v>665.1285951520396</v>
      </c>
      <c r="I18" s="403">
        <f t="shared" si="7"/>
        <v>1365.6294117647058</v>
      </c>
      <c r="J18" s="408">
        <f t="shared" si="8"/>
        <v>1324.6026272577997</v>
      </c>
      <c r="K18" s="403">
        <f t="shared" si="9"/>
        <v>-41.0267845069061</v>
      </c>
      <c r="L18" s="409"/>
      <c r="M18" s="409">
        <f t="shared" si="0"/>
        <v>1167.6294117647058</v>
      </c>
      <c r="N18" s="356">
        <v>1</v>
      </c>
      <c r="O18" s="356">
        <v>1</v>
      </c>
      <c r="P18" s="410">
        <v>0.91</v>
      </c>
      <c r="Q18" s="410">
        <v>0.91</v>
      </c>
    </row>
    <row r="19" spans="1:17" ht="12.75">
      <c r="A19" s="508" t="s">
        <v>10</v>
      </c>
      <c r="B19" s="486">
        <f>'kostnader bil 3'!B19</f>
        <v>16</v>
      </c>
      <c r="C19" s="486">
        <f>'[7]verksamplan bil 3'!F16</f>
        <v>26</v>
      </c>
      <c r="D19" s="487">
        <f t="shared" si="2"/>
        <v>10</v>
      </c>
      <c r="E19" s="488">
        <f t="shared" si="3"/>
        <v>390.073381294964</v>
      </c>
      <c r="F19" s="489">
        <f t="shared" si="4"/>
        <v>495.2719968562965</v>
      </c>
      <c r="G19" s="488">
        <f t="shared" si="5"/>
        <v>236.23701605288005</v>
      </c>
      <c r="H19" s="489">
        <f t="shared" si="6"/>
        <v>332.5642975760198</v>
      </c>
      <c r="I19" s="489">
        <f t="shared" si="7"/>
        <v>901.3453781512605</v>
      </c>
      <c r="J19" s="489">
        <f t="shared" si="8"/>
        <v>594.8013136288998</v>
      </c>
      <c r="K19" s="489">
        <f t="shared" si="9"/>
        <v>-306.5440645223607</v>
      </c>
      <c r="L19" s="409"/>
      <c r="M19" s="409">
        <f t="shared" si="0"/>
        <v>885.3453781512605</v>
      </c>
      <c r="N19" s="356">
        <v>0.5</v>
      </c>
      <c r="O19" s="356">
        <v>0.5</v>
      </c>
      <c r="P19" s="410">
        <v>0.69</v>
      </c>
      <c r="Q19" s="410">
        <v>0.69</v>
      </c>
    </row>
    <row r="20" spans="1:17" ht="12.75">
      <c r="A20" s="423" t="s">
        <v>176</v>
      </c>
      <c r="B20" s="404">
        <f>'kostnader bil 3'!B20</f>
        <v>1647</v>
      </c>
      <c r="C20" s="405">
        <f>'[7]verksamplan bil 3'!F17</f>
        <v>1467</v>
      </c>
      <c r="D20" s="406">
        <f t="shared" si="2"/>
        <v>-180</v>
      </c>
      <c r="E20" s="358">
        <f t="shared" si="3"/>
        <v>548.3640287769783</v>
      </c>
      <c r="F20" s="403">
        <f t="shared" si="4"/>
        <v>696.2519376095762</v>
      </c>
      <c r="G20" s="407">
        <f t="shared" si="5"/>
        <v>354.3555240793201</v>
      </c>
      <c r="H20" s="408">
        <f t="shared" si="6"/>
        <v>498.8464463640297</v>
      </c>
      <c r="I20" s="403">
        <f t="shared" si="7"/>
        <v>2891.6159663865546</v>
      </c>
      <c r="J20" s="408">
        <f t="shared" si="8"/>
        <v>2320.2019704433496</v>
      </c>
      <c r="K20" s="403">
        <f t="shared" si="9"/>
        <v>-571.413995943205</v>
      </c>
      <c r="L20" s="409"/>
      <c r="M20" s="409">
        <f t="shared" si="0"/>
        <v>1244.6159663865546</v>
      </c>
      <c r="N20" s="356">
        <v>0.75</v>
      </c>
      <c r="O20" s="356">
        <v>0.75</v>
      </c>
      <c r="P20" s="410">
        <v>0.97</v>
      </c>
      <c r="Q20" s="410">
        <v>0.97</v>
      </c>
    </row>
    <row r="21" spans="1:17" ht="12.75">
      <c r="A21" s="508" t="s">
        <v>331</v>
      </c>
      <c r="B21" s="486">
        <f>'kostnader bil 3'!B21</f>
        <v>200</v>
      </c>
      <c r="C21" s="486">
        <f>'[7]verksamplan bil 3'!F18</f>
        <v>225</v>
      </c>
      <c r="D21" s="487">
        <f t="shared" si="2"/>
        <v>25</v>
      </c>
      <c r="E21" s="488">
        <f t="shared" si="3"/>
        <v>107.41151079136691</v>
      </c>
      <c r="F21" s="489">
        <f t="shared" si="4"/>
        <v>136.37924551115412</v>
      </c>
      <c r="G21" s="488">
        <f t="shared" si="5"/>
        <v>94.49480642115203</v>
      </c>
      <c r="H21" s="489">
        <f t="shared" si="6"/>
        <v>133.02571903040794</v>
      </c>
      <c r="I21" s="489">
        <f t="shared" si="7"/>
        <v>443.79075630252106</v>
      </c>
      <c r="J21" s="489">
        <f t="shared" si="8"/>
        <v>452.52052545155993</v>
      </c>
      <c r="K21" s="489">
        <f t="shared" si="9"/>
        <v>8.729769149038873</v>
      </c>
      <c r="L21" s="409"/>
      <c r="M21" s="409">
        <f t="shared" si="0"/>
        <v>243.79075630252103</v>
      </c>
      <c r="N21" s="356">
        <v>0.2</v>
      </c>
      <c r="O21" s="356">
        <v>0.2</v>
      </c>
      <c r="P21" s="410">
        <v>0.19</v>
      </c>
      <c r="Q21" s="410">
        <v>0.19</v>
      </c>
    </row>
    <row r="22" spans="1:17" ht="12.75">
      <c r="A22" s="423" t="s">
        <v>129</v>
      </c>
      <c r="B22" s="404"/>
      <c r="C22" s="405">
        <v>0</v>
      </c>
      <c r="D22" s="406">
        <f t="shared" si="2"/>
        <v>0</v>
      </c>
      <c r="E22" s="358">
        <f t="shared" si="3"/>
        <v>113.06474820143885</v>
      </c>
      <c r="F22" s="403">
        <f t="shared" si="4"/>
        <v>143.55710053805697</v>
      </c>
      <c r="G22" s="407">
        <f t="shared" si="5"/>
        <v>160.64117091595847</v>
      </c>
      <c r="H22" s="408">
        <f t="shared" si="6"/>
        <v>226.1437223516935</v>
      </c>
      <c r="I22" s="403">
        <f t="shared" si="7"/>
        <v>256.6218487394958</v>
      </c>
      <c r="J22" s="408">
        <f t="shared" si="8"/>
        <v>386.78489326765197</v>
      </c>
      <c r="K22" s="403">
        <f t="shared" si="9"/>
        <v>130.16304452815615</v>
      </c>
      <c r="L22" s="409"/>
      <c r="M22" s="409">
        <f t="shared" si="0"/>
        <v>256.6218487394958</v>
      </c>
      <c r="N22" s="356">
        <v>0.34</v>
      </c>
      <c r="O22" s="356">
        <v>0.34</v>
      </c>
      <c r="P22" s="410">
        <v>0.2</v>
      </c>
      <c r="Q22" s="410">
        <v>0.2</v>
      </c>
    </row>
    <row r="23" spans="1:17" ht="12.75">
      <c r="A23" s="508" t="s">
        <v>181</v>
      </c>
      <c r="B23" s="486">
        <f>'kostnader bil 3'!B22</f>
        <v>600</v>
      </c>
      <c r="C23" s="486"/>
      <c r="D23" s="487"/>
      <c r="E23" s="488">
        <f t="shared" si="3"/>
        <v>28.26618705035971</v>
      </c>
      <c r="F23" s="489">
        <f t="shared" si="4"/>
        <v>35.88927513451424</v>
      </c>
      <c r="G23" s="488">
        <f>(N23/$N$55)*$C$77</f>
        <v>0</v>
      </c>
      <c r="H23" s="489">
        <f>(O23/$O$55)*$C$79</f>
        <v>0</v>
      </c>
      <c r="I23" s="489">
        <f t="shared" si="7"/>
        <v>664.155462184874</v>
      </c>
      <c r="J23" s="489"/>
      <c r="K23" s="489"/>
      <c r="L23" s="409"/>
      <c r="M23" s="409">
        <f t="shared" si="0"/>
        <v>64.15546218487395</v>
      </c>
      <c r="P23" s="410">
        <v>0.05</v>
      </c>
      <c r="Q23" s="410">
        <v>0.05</v>
      </c>
    </row>
    <row r="24" spans="1:17" ht="12.75">
      <c r="A24" s="411" t="s">
        <v>35</v>
      </c>
      <c r="B24" s="412">
        <f>SUM(B17:B23)</f>
        <v>3138</v>
      </c>
      <c r="C24" s="413">
        <f>SUM(C17:C22)</f>
        <v>2327</v>
      </c>
      <c r="D24" s="414">
        <f t="shared" si="2"/>
        <v>-811</v>
      </c>
      <c r="E24" s="412">
        <f aca="true" t="shared" si="10" ref="E24:J24">SUM(E17:E22)</f>
        <v>1961.6733812949637</v>
      </c>
      <c r="F24" s="415">
        <f t="shared" si="10"/>
        <v>2490.7156943352884</v>
      </c>
      <c r="G24" s="413">
        <f t="shared" si="10"/>
        <v>1554.4395656279507</v>
      </c>
      <c r="H24" s="416">
        <f t="shared" si="10"/>
        <v>2188.27307805021</v>
      </c>
      <c r="I24" s="415">
        <f>SUM(I17:I23)</f>
        <v>7654.544537815125</v>
      </c>
      <c r="J24" s="416">
        <f t="shared" si="10"/>
        <v>6069.71264367816</v>
      </c>
      <c r="K24" s="417">
        <f t="shared" si="9"/>
        <v>-1584.8318941369653</v>
      </c>
      <c r="L24" s="418"/>
      <c r="M24" s="409">
        <f t="shared" si="0"/>
        <v>4452.389075630252</v>
      </c>
      <c r="P24" s="509"/>
      <c r="Q24" s="509"/>
    </row>
    <row r="25" spans="1:17" ht="12.75">
      <c r="A25" s="351"/>
      <c r="D25" s="420"/>
      <c r="E25" s="358"/>
      <c r="F25" s="358"/>
      <c r="J25" s="407"/>
      <c r="M25" s="409">
        <f t="shared" si="0"/>
        <v>0</v>
      </c>
      <c r="P25" s="410"/>
      <c r="Q25" s="410"/>
    </row>
    <row r="26" spans="1:17" ht="12.75">
      <c r="A26" s="355" t="s">
        <v>224</v>
      </c>
      <c r="D26" s="420"/>
      <c r="E26" s="358"/>
      <c r="F26" s="358"/>
      <c r="J26" s="407"/>
      <c r="M26" s="409">
        <f t="shared" si="0"/>
        <v>0</v>
      </c>
      <c r="N26" s="352"/>
      <c r="O26" s="352"/>
      <c r="P26" s="410"/>
      <c r="Q26" s="410"/>
    </row>
    <row r="27" spans="1:17" ht="12.75">
      <c r="A27" s="423" t="s">
        <v>45</v>
      </c>
      <c r="B27" s="404">
        <f>'kostnader bil 3'!B26</f>
        <v>85</v>
      </c>
      <c r="C27" s="405">
        <f>'[7]Delpr bil 4'!G64</f>
        <v>65</v>
      </c>
      <c r="D27" s="406">
        <f aca="true" t="shared" si="11" ref="D27:D35">+C27-B27</f>
        <v>-20</v>
      </c>
      <c r="E27" s="358">
        <f aca="true" t="shared" si="12" ref="E27:E33">(P27/$P$55)*$B$77</f>
        <v>56.53237410071942</v>
      </c>
      <c r="F27" s="403">
        <f aca="true" t="shared" si="13" ref="F27:F33">(Q27/$Q$55)*$B$79</f>
        <v>71.77855026902849</v>
      </c>
      <c r="G27" s="407">
        <f aca="true" t="shared" si="14" ref="G27:G33">(N27/$N$55)*$C$77</f>
        <v>141.74220963172806</v>
      </c>
      <c r="H27" s="408">
        <f aca="true" t="shared" si="15" ref="H27:H33">(O27/$O$55)*$C$79</f>
        <v>199.5385785456119</v>
      </c>
      <c r="I27" s="403">
        <f aca="true" t="shared" si="16" ref="I27:I33">B27+E27+F27</f>
        <v>213.3109243697479</v>
      </c>
      <c r="J27" s="408">
        <f aca="true" t="shared" si="17" ref="J27:J33">C27+G27+H27</f>
        <v>406.28078817733996</v>
      </c>
      <c r="K27" s="403">
        <f aca="true" t="shared" si="18" ref="K27:K35">+J27-I27</f>
        <v>192.96986380759205</v>
      </c>
      <c r="L27" s="409"/>
      <c r="M27" s="409">
        <f t="shared" si="0"/>
        <v>128.3109243697479</v>
      </c>
      <c r="N27" s="356">
        <v>0.3</v>
      </c>
      <c r="O27" s="356">
        <v>0.3</v>
      </c>
      <c r="P27" s="410">
        <v>0.1</v>
      </c>
      <c r="Q27" s="410">
        <v>0.1</v>
      </c>
    </row>
    <row r="28" spans="1:17" ht="12.75">
      <c r="A28" s="508" t="s">
        <v>332</v>
      </c>
      <c r="B28" s="486">
        <f>'kostnader bil 3'!B27</f>
        <v>14</v>
      </c>
      <c r="C28" s="486">
        <f>'[7]Delpr bil 4'!G68</f>
        <v>14</v>
      </c>
      <c r="D28" s="490">
        <f t="shared" si="11"/>
        <v>0</v>
      </c>
      <c r="E28" s="488">
        <f t="shared" si="12"/>
        <v>175.25035971223022</v>
      </c>
      <c r="F28" s="489">
        <f t="shared" si="13"/>
        <v>222.51350583398832</v>
      </c>
      <c r="G28" s="488">
        <f t="shared" si="14"/>
        <v>188.98961284230407</v>
      </c>
      <c r="H28" s="489">
        <f t="shared" si="15"/>
        <v>266.0514380608159</v>
      </c>
      <c r="I28" s="489">
        <f t="shared" si="16"/>
        <v>411.76386554621854</v>
      </c>
      <c r="J28" s="489">
        <f t="shared" si="17"/>
        <v>469.04105090312</v>
      </c>
      <c r="K28" s="489">
        <f t="shared" si="18"/>
        <v>57.27718535690144</v>
      </c>
      <c r="L28" s="409"/>
      <c r="M28" s="409">
        <f t="shared" si="0"/>
        <v>397.76386554621854</v>
      </c>
      <c r="N28" s="356">
        <v>0.4</v>
      </c>
      <c r="O28" s="356">
        <v>0.4</v>
      </c>
      <c r="P28" s="410">
        <v>0.31</v>
      </c>
      <c r="Q28" s="410">
        <v>0.31</v>
      </c>
    </row>
    <row r="29" spans="1:17" ht="12.75">
      <c r="A29" s="423" t="s">
        <v>333</v>
      </c>
      <c r="B29" s="404">
        <f>'kostnader bil 3'!B28</f>
        <v>238</v>
      </c>
      <c r="C29" s="405">
        <f>'[7]Delpr bil 4'!G81</f>
        <v>536</v>
      </c>
      <c r="D29" s="421">
        <f t="shared" si="11"/>
        <v>298</v>
      </c>
      <c r="E29" s="358">
        <f t="shared" si="12"/>
        <v>554.0172661870504</v>
      </c>
      <c r="F29" s="403">
        <f t="shared" si="13"/>
        <v>703.4297926364792</v>
      </c>
      <c r="G29" s="407">
        <f t="shared" si="14"/>
        <v>141.74220963172806</v>
      </c>
      <c r="H29" s="408">
        <f t="shared" si="15"/>
        <v>199.5385785456119</v>
      </c>
      <c r="I29" s="403">
        <f t="shared" si="16"/>
        <v>1495.4470588235295</v>
      </c>
      <c r="J29" s="408">
        <f t="shared" si="17"/>
        <v>877.28078817734</v>
      </c>
      <c r="K29" s="403">
        <f t="shared" si="18"/>
        <v>-618.1662706461894</v>
      </c>
      <c r="L29" s="409"/>
      <c r="M29" s="409">
        <f t="shared" si="0"/>
        <v>1257.4470588235295</v>
      </c>
      <c r="N29" s="356">
        <v>0.3</v>
      </c>
      <c r="O29" s="356">
        <v>0.3</v>
      </c>
      <c r="P29" s="410">
        <v>0.98</v>
      </c>
      <c r="Q29" s="410">
        <v>0.98</v>
      </c>
    </row>
    <row r="30" spans="1:17" ht="12.75">
      <c r="A30" s="508" t="s">
        <v>334</v>
      </c>
      <c r="B30" s="486">
        <f>'kostnader bil 3'!B29</f>
        <v>155</v>
      </c>
      <c r="C30" s="486">
        <f>'[7]Delpr bil 4'!G89</f>
        <v>110</v>
      </c>
      <c r="D30" s="490">
        <f t="shared" si="11"/>
        <v>-45</v>
      </c>
      <c r="E30" s="488">
        <f t="shared" si="12"/>
        <v>141.33093525179856</v>
      </c>
      <c r="F30" s="489">
        <f t="shared" si="13"/>
        <v>179.4463756725712</v>
      </c>
      <c r="G30" s="488">
        <f t="shared" si="14"/>
        <v>188.98961284230407</v>
      </c>
      <c r="H30" s="489">
        <f t="shared" si="15"/>
        <v>266.0514380608159</v>
      </c>
      <c r="I30" s="489">
        <f t="shared" si="16"/>
        <v>475.7773109243698</v>
      </c>
      <c r="J30" s="489">
        <f t="shared" si="17"/>
        <v>565.0410509031199</v>
      </c>
      <c r="K30" s="489">
        <f t="shared" si="18"/>
        <v>89.2637399787501</v>
      </c>
      <c r="L30" s="409"/>
      <c r="M30" s="409">
        <f t="shared" si="0"/>
        <v>320.7773109243698</v>
      </c>
      <c r="N30" s="352">
        <v>0.4</v>
      </c>
      <c r="O30" s="352">
        <v>0.4</v>
      </c>
      <c r="P30" s="410">
        <v>0.25</v>
      </c>
      <c r="Q30" s="410">
        <v>0.25</v>
      </c>
    </row>
    <row r="31" spans="1:17" ht="12.75">
      <c r="A31" s="423" t="s">
        <v>111</v>
      </c>
      <c r="B31" s="404">
        <f>'kostnader bil 3'!B30</f>
        <v>466</v>
      </c>
      <c r="C31" s="405">
        <f>'[7]Delpr bil 4'!G105</f>
        <v>173</v>
      </c>
      <c r="D31" s="421">
        <f t="shared" si="11"/>
        <v>-293</v>
      </c>
      <c r="E31" s="358">
        <f t="shared" si="12"/>
        <v>497.48489208633094</v>
      </c>
      <c r="F31" s="403">
        <f t="shared" si="13"/>
        <v>631.6512423674507</v>
      </c>
      <c r="G31" s="407">
        <f t="shared" si="14"/>
        <v>444.1255901794145</v>
      </c>
      <c r="H31" s="408">
        <f t="shared" si="15"/>
        <v>625.2208794429172</v>
      </c>
      <c r="I31" s="403">
        <f t="shared" si="16"/>
        <v>1595.1361344537818</v>
      </c>
      <c r="J31" s="408">
        <f t="shared" si="17"/>
        <v>1242.3464696223318</v>
      </c>
      <c r="K31" s="403">
        <f t="shared" si="18"/>
        <v>-352.78966483144995</v>
      </c>
      <c r="L31" s="409"/>
      <c r="M31" s="409">
        <f t="shared" si="0"/>
        <v>1129.1361344537816</v>
      </c>
      <c r="N31" s="356">
        <v>0.94</v>
      </c>
      <c r="O31" s="356">
        <v>0.94</v>
      </c>
      <c r="P31" s="410">
        <v>0.88</v>
      </c>
      <c r="Q31" s="410">
        <v>0.88</v>
      </c>
    </row>
    <row r="32" spans="1:17" ht="12.75">
      <c r="A32" s="508" t="s">
        <v>3</v>
      </c>
      <c r="B32" s="486">
        <f>'kostnader bil 3'!B31</f>
        <v>200</v>
      </c>
      <c r="C32" s="486">
        <f>'[7]Delpr bil 4'!G111</f>
        <v>56</v>
      </c>
      <c r="D32" s="490">
        <f t="shared" si="11"/>
        <v>-144</v>
      </c>
      <c r="E32" s="488">
        <f t="shared" si="12"/>
        <v>146.9841726618705</v>
      </c>
      <c r="F32" s="489">
        <f t="shared" si="13"/>
        <v>186.62423069947405</v>
      </c>
      <c r="G32" s="488">
        <f t="shared" si="14"/>
        <v>51.97214353163361</v>
      </c>
      <c r="H32" s="489">
        <f t="shared" si="15"/>
        <v>73.16414546672436</v>
      </c>
      <c r="I32" s="489">
        <f t="shared" si="16"/>
        <v>533.6084033613446</v>
      </c>
      <c r="J32" s="489">
        <f t="shared" si="17"/>
        <v>181.13628899835797</v>
      </c>
      <c r="K32" s="489">
        <f t="shared" si="18"/>
        <v>-352.47211436298664</v>
      </c>
      <c r="L32" s="409"/>
      <c r="M32" s="409">
        <f t="shared" si="0"/>
        <v>333.6084033613446</v>
      </c>
      <c r="N32" s="356">
        <v>0.11</v>
      </c>
      <c r="O32" s="356">
        <v>0.11</v>
      </c>
      <c r="P32" s="410">
        <v>0.26</v>
      </c>
      <c r="Q32" s="410">
        <v>0.26</v>
      </c>
    </row>
    <row r="33" spans="1:17" ht="12.75">
      <c r="A33" s="423" t="s">
        <v>335</v>
      </c>
      <c r="B33" s="404">
        <v>0</v>
      </c>
      <c r="C33" s="405">
        <f>'[7]Delpr bil 4'!G128</f>
        <v>0</v>
      </c>
      <c r="D33" s="421">
        <f t="shared" si="11"/>
        <v>0</v>
      </c>
      <c r="E33" s="358">
        <f t="shared" si="12"/>
        <v>0</v>
      </c>
      <c r="F33" s="403">
        <f t="shared" si="13"/>
        <v>0</v>
      </c>
      <c r="G33" s="407">
        <f t="shared" si="14"/>
        <v>118.11850802644003</v>
      </c>
      <c r="H33" s="408">
        <f t="shared" si="15"/>
        <v>166.2821487880099</v>
      </c>
      <c r="I33" s="403">
        <f t="shared" si="16"/>
        <v>0</v>
      </c>
      <c r="J33" s="408">
        <f t="shared" si="17"/>
        <v>284.4006568144499</v>
      </c>
      <c r="K33" s="403">
        <f t="shared" si="18"/>
        <v>284.4006568144499</v>
      </c>
      <c r="L33" s="409"/>
      <c r="M33" s="409">
        <f t="shared" si="0"/>
        <v>0</v>
      </c>
      <c r="N33" s="356">
        <v>0.25</v>
      </c>
      <c r="O33" s="356">
        <v>0.25</v>
      </c>
      <c r="P33" s="410"/>
      <c r="Q33" s="410"/>
    </row>
    <row r="34" spans="1:17" ht="12.75">
      <c r="A34" s="508" t="s">
        <v>315</v>
      </c>
      <c r="B34" s="486">
        <f>'kostnader bil 3'!B32</f>
        <v>320</v>
      </c>
      <c r="C34" s="486">
        <v>0</v>
      </c>
      <c r="D34" s="490">
        <f t="shared" si="11"/>
        <v>-320</v>
      </c>
      <c r="E34" s="488">
        <v>0</v>
      </c>
      <c r="F34" s="489">
        <v>0</v>
      </c>
      <c r="G34" s="488">
        <v>0</v>
      </c>
      <c r="H34" s="489">
        <v>0</v>
      </c>
      <c r="I34" s="489">
        <f>B34+E34+F34</f>
        <v>320</v>
      </c>
      <c r="J34" s="489"/>
      <c r="K34" s="489"/>
      <c r="L34" s="409"/>
      <c r="M34" s="409">
        <f t="shared" si="0"/>
        <v>0</v>
      </c>
      <c r="P34" s="410"/>
      <c r="Q34" s="410"/>
    </row>
    <row r="35" spans="1:17" ht="12.75">
      <c r="A35" s="411" t="s">
        <v>35</v>
      </c>
      <c r="B35" s="412">
        <f>SUM(B27:B34)</f>
        <v>1478</v>
      </c>
      <c r="C35" s="413">
        <f>SUM(C27:C33)</f>
        <v>954</v>
      </c>
      <c r="D35" s="414">
        <f t="shared" si="11"/>
        <v>-524</v>
      </c>
      <c r="E35" s="412">
        <f aca="true" t="shared" si="19" ref="E35:J35">SUM(E27:E33)</f>
        <v>1571.6</v>
      </c>
      <c r="F35" s="415">
        <f t="shared" si="19"/>
        <v>1995.443697478992</v>
      </c>
      <c r="G35" s="413">
        <f t="shared" si="19"/>
        <v>1275.6798866855524</v>
      </c>
      <c r="H35" s="416">
        <f t="shared" si="19"/>
        <v>1795.8472069105069</v>
      </c>
      <c r="I35" s="415">
        <f>SUM(I27:I34)</f>
        <v>5045.043697478992</v>
      </c>
      <c r="J35" s="416">
        <f t="shared" si="19"/>
        <v>4025.52709359606</v>
      </c>
      <c r="K35" s="417">
        <f t="shared" si="18"/>
        <v>-1019.516603882932</v>
      </c>
      <c r="L35" s="422"/>
      <c r="M35" s="409">
        <f t="shared" si="0"/>
        <v>3567.043697478992</v>
      </c>
      <c r="N35" s="419"/>
      <c r="O35" s="419"/>
      <c r="P35" s="509"/>
      <c r="Q35" s="509"/>
    </row>
    <row r="36" spans="1:17" ht="7.5" customHeight="1">
      <c r="A36" s="423"/>
      <c r="B36" s="404"/>
      <c r="C36" s="405"/>
      <c r="D36" s="420"/>
      <c r="E36" s="358"/>
      <c r="F36" s="358"/>
      <c r="J36" s="407"/>
      <c r="M36" s="409">
        <f t="shared" si="0"/>
        <v>0</v>
      </c>
      <c r="P36" s="410"/>
      <c r="Q36" s="410"/>
    </row>
    <row r="37" spans="1:17" ht="12.75">
      <c r="A37" s="355" t="s">
        <v>225</v>
      </c>
      <c r="D37" s="420"/>
      <c r="E37" s="358"/>
      <c r="F37" s="358"/>
      <c r="J37" s="407"/>
      <c r="M37" s="409">
        <f t="shared" si="0"/>
        <v>0</v>
      </c>
      <c r="P37" s="410"/>
      <c r="Q37" s="410"/>
    </row>
    <row r="38" spans="1:17" ht="12.75">
      <c r="A38" s="508" t="s">
        <v>336</v>
      </c>
      <c r="B38" s="486">
        <f>'kostnader bil 3'!B36</f>
        <v>200</v>
      </c>
      <c r="C38" s="486">
        <f>'[7]Delpr bil 4'!G118</f>
        <v>105</v>
      </c>
      <c r="D38" s="487">
        <f aca="true" t="shared" si="20" ref="D38:D46">+C38-B38</f>
        <v>-95</v>
      </c>
      <c r="E38" s="488">
        <f aca="true" t="shared" si="21" ref="E38:E45">(P38/$P$55)*$B$77</f>
        <v>260.0489208633094</v>
      </c>
      <c r="F38" s="489">
        <f aca="true" t="shared" si="22" ref="F38:F45">(Q38/$Q$55)*$B$79</f>
        <v>330.1813312375311</v>
      </c>
      <c r="G38" s="488">
        <f aca="true" t="shared" si="23" ref="G38:G45">(N38/$N$55)*$C$77</f>
        <v>198.43909348441926</v>
      </c>
      <c r="H38" s="489">
        <f aca="true" t="shared" si="24" ref="H38:H45">(O38/$O$55)*$C$79</f>
        <v>279.35400996385664</v>
      </c>
      <c r="I38" s="489">
        <f aca="true" t="shared" si="25" ref="I38:I45">B38+E38+F38</f>
        <v>790.2302521008405</v>
      </c>
      <c r="J38" s="489">
        <f aca="true" t="shared" si="26" ref="J38:J45">C38+G38+H38</f>
        <v>582.7931034482758</v>
      </c>
      <c r="K38" s="489">
        <f>+J38-I38</f>
        <v>-207.4371486525647</v>
      </c>
      <c r="L38" s="409"/>
      <c r="M38" s="409">
        <f t="shared" si="0"/>
        <v>590.2302521008405</v>
      </c>
      <c r="N38" s="356">
        <v>0.42</v>
      </c>
      <c r="O38" s="356">
        <v>0.42</v>
      </c>
      <c r="P38" s="410">
        <v>0.46</v>
      </c>
      <c r="Q38" s="410">
        <v>0.46</v>
      </c>
    </row>
    <row r="39" spans="1:17" ht="12.75">
      <c r="A39" s="423" t="s">
        <v>227</v>
      </c>
      <c r="B39" s="404">
        <f>'kostnader bil 3'!B37</f>
        <v>5</v>
      </c>
      <c r="C39" s="405">
        <f>'[7]Delpr bil 4'!G121</f>
        <v>5</v>
      </c>
      <c r="D39" s="406">
        <f t="shared" si="20"/>
        <v>0</v>
      </c>
      <c r="E39" s="358">
        <f t="shared" si="21"/>
        <v>0</v>
      </c>
      <c r="F39" s="403">
        <f t="shared" si="22"/>
        <v>0</v>
      </c>
      <c r="G39" s="407">
        <f t="shared" si="23"/>
        <v>0</v>
      </c>
      <c r="H39" s="408">
        <f t="shared" si="24"/>
        <v>0</v>
      </c>
      <c r="I39" s="403">
        <f t="shared" si="25"/>
        <v>5</v>
      </c>
      <c r="J39" s="408">
        <f t="shared" si="26"/>
        <v>5</v>
      </c>
      <c r="K39" s="492">
        <f aca="true" t="shared" si="27" ref="K39:K45">+J39-I39</f>
        <v>0</v>
      </c>
      <c r="L39" s="409"/>
      <c r="M39" s="409">
        <f t="shared" si="0"/>
        <v>0</v>
      </c>
      <c r="N39" s="356">
        <v>0</v>
      </c>
      <c r="O39" s="356">
        <v>0</v>
      </c>
      <c r="P39" s="410"/>
      <c r="Q39" s="410"/>
    </row>
    <row r="40" spans="1:17" ht="12.75">
      <c r="A40" s="508" t="s">
        <v>337</v>
      </c>
      <c r="B40" s="486">
        <f>'kostnader bil 3'!B38</f>
        <v>25</v>
      </c>
      <c r="C40" s="486">
        <f>'[7]Delpr bil 4'!G125</f>
        <v>35</v>
      </c>
      <c r="D40" s="487">
        <f t="shared" si="20"/>
        <v>10</v>
      </c>
      <c r="E40" s="488">
        <f t="shared" si="21"/>
        <v>5.6532374100719425</v>
      </c>
      <c r="F40" s="489">
        <f t="shared" si="22"/>
        <v>7.177855026902849</v>
      </c>
      <c r="G40" s="488">
        <f t="shared" si="23"/>
        <v>0</v>
      </c>
      <c r="H40" s="489">
        <f t="shared" si="24"/>
        <v>0</v>
      </c>
      <c r="I40" s="489">
        <f t="shared" si="25"/>
        <v>37.83109243697479</v>
      </c>
      <c r="J40" s="489">
        <f t="shared" si="26"/>
        <v>35</v>
      </c>
      <c r="K40" s="489">
        <f t="shared" si="27"/>
        <v>-2.8310924369747923</v>
      </c>
      <c r="L40" s="409"/>
      <c r="M40" s="409">
        <f t="shared" si="0"/>
        <v>12.831092436974792</v>
      </c>
      <c r="N40" s="356">
        <v>0</v>
      </c>
      <c r="O40" s="356">
        <v>0</v>
      </c>
      <c r="P40" s="410">
        <v>0.01</v>
      </c>
      <c r="Q40" s="410">
        <v>0.01</v>
      </c>
    </row>
    <row r="41" spans="1:17" ht="12.75">
      <c r="A41" s="423" t="s">
        <v>338</v>
      </c>
      <c r="B41" s="404">
        <f>'kostnader bil 3'!B39</f>
        <v>0</v>
      </c>
      <c r="C41" s="405">
        <f>'[7]Delpr bil 4'!G133</f>
        <v>264</v>
      </c>
      <c r="D41" s="406">
        <f t="shared" si="20"/>
        <v>264</v>
      </c>
      <c r="E41" s="358">
        <f t="shared" si="21"/>
        <v>0</v>
      </c>
      <c r="F41" s="403">
        <f t="shared" si="22"/>
        <v>0</v>
      </c>
      <c r="G41" s="407">
        <f t="shared" si="23"/>
        <v>94.49480642115203</v>
      </c>
      <c r="H41" s="408">
        <f t="shared" si="24"/>
        <v>133.02571903040794</v>
      </c>
      <c r="I41" s="403">
        <f t="shared" si="25"/>
        <v>0</v>
      </c>
      <c r="J41" s="408">
        <f t="shared" si="26"/>
        <v>491.52052545155993</v>
      </c>
      <c r="K41" s="492">
        <f t="shared" si="27"/>
        <v>491.52052545155993</v>
      </c>
      <c r="L41" s="409"/>
      <c r="M41" s="409">
        <f t="shared" si="0"/>
        <v>0</v>
      </c>
      <c r="N41" s="356">
        <v>0.2</v>
      </c>
      <c r="O41" s="356">
        <v>0.2</v>
      </c>
      <c r="P41" s="410">
        <v>0</v>
      </c>
      <c r="Q41" s="410">
        <v>0</v>
      </c>
    </row>
    <row r="42" spans="1:17" ht="12.75">
      <c r="A42" s="508" t="s">
        <v>229</v>
      </c>
      <c r="B42" s="486">
        <f>'kostnader bil 3'!B40</f>
        <v>280</v>
      </c>
      <c r="C42" s="486">
        <f>'[7]Delpr bil 4'!G142</f>
        <v>235</v>
      </c>
      <c r="D42" s="487">
        <f t="shared" si="20"/>
        <v>-45</v>
      </c>
      <c r="E42" s="488">
        <f t="shared" si="21"/>
        <v>350.50071942446044</v>
      </c>
      <c r="F42" s="489">
        <f t="shared" si="22"/>
        <v>445.02701166797664</v>
      </c>
      <c r="G42" s="488">
        <f t="shared" si="23"/>
        <v>250.4112370160529</v>
      </c>
      <c r="H42" s="489">
        <f t="shared" si="24"/>
        <v>352.51815543058103</v>
      </c>
      <c r="I42" s="489">
        <f t="shared" si="25"/>
        <v>1075.527731092437</v>
      </c>
      <c r="J42" s="489">
        <f t="shared" si="26"/>
        <v>837.929392446634</v>
      </c>
      <c r="K42" s="489">
        <f t="shared" si="27"/>
        <v>-237.5983386458031</v>
      </c>
      <c r="L42" s="409"/>
      <c r="M42" s="409">
        <f t="shared" si="0"/>
        <v>795.5277310924371</v>
      </c>
      <c r="N42" s="356">
        <v>0.53</v>
      </c>
      <c r="O42" s="356">
        <v>0.53</v>
      </c>
      <c r="P42" s="410">
        <v>0.62</v>
      </c>
      <c r="Q42" s="410">
        <v>0.62</v>
      </c>
    </row>
    <row r="43" spans="1:17" ht="12.75">
      <c r="A43" s="423" t="s">
        <v>230</v>
      </c>
      <c r="B43" s="404">
        <f>'kostnader bil 3'!B41</f>
        <v>40</v>
      </c>
      <c r="C43" s="405">
        <f>'[7]Delpr bil 4'!G145</f>
        <v>27</v>
      </c>
      <c r="D43" s="406">
        <f t="shared" si="20"/>
        <v>-13</v>
      </c>
      <c r="E43" s="358">
        <f t="shared" si="21"/>
        <v>0</v>
      </c>
      <c r="F43" s="403">
        <f t="shared" si="22"/>
        <v>0</v>
      </c>
      <c r="G43" s="407">
        <f t="shared" si="23"/>
        <v>0</v>
      </c>
      <c r="H43" s="408">
        <f t="shared" si="24"/>
        <v>0</v>
      </c>
      <c r="I43" s="403">
        <f t="shared" si="25"/>
        <v>40</v>
      </c>
      <c r="J43" s="408">
        <f t="shared" si="26"/>
        <v>27</v>
      </c>
      <c r="K43" s="492">
        <f t="shared" si="27"/>
        <v>-13</v>
      </c>
      <c r="L43" s="409"/>
      <c r="M43" s="409">
        <f t="shared" si="0"/>
        <v>0</v>
      </c>
      <c r="N43" s="356">
        <v>0</v>
      </c>
      <c r="O43" s="356">
        <v>0</v>
      </c>
      <c r="P43" s="410">
        <v>0</v>
      </c>
      <c r="Q43" s="410">
        <v>0</v>
      </c>
    </row>
    <row r="44" spans="1:17" ht="12.75">
      <c r="A44" s="508" t="s">
        <v>64</v>
      </c>
      <c r="B44" s="486">
        <f>'kostnader bil 3'!B42</f>
        <v>20</v>
      </c>
      <c r="C44" s="486">
        <f>'[7]Delpr bil 4'!G148</f>
        <v>25</v>
      </c>
      <c r="D44" s="487">
        <f t="shared" si="20"/>
        <v>5</v>
      </c>
      <c r="E44" s="488">
        <f t="shared" si="21"/>
        <v>0</v>
      </c>
      <c r="F44" s="489">
        <f t="shared" si="22"/>
        <v>0</v>
      </c>
      <c r="G44" s="488">
        <f t="shared" si="23"/>
        <v>0</v>
      </c>
      <c r="H44" s="489">
        <f t="shared" si="24"/>
        <v>0</v>
      </c>
      <c r="I44" s="489">
        <f t="shared" si="25"/>
        <v>20</v>
      </c>
      <c r="J44" s="489">
        <f t="shared" si="26"/>
        <v>25</v>
      </c>
      <c r="K44" s="489">
        <f t="shared" si="27"/>
        <v>5</v>
      </c>
      <c r="L44" s="409"/>
      <c r="M44" s="409">
        <f t="shared" si="0"/>
        <v>0</v>
      </c>
      <c r="N44" s="356">
        <v>0</v>
      </c>
      <c r="O44" s="356">
        <v>0</v>
      </c>
      <c r="P44" s="410">
        <v>0</v>
      </c>
      <c r="Q44" s="410">
        <v>0</v>
      </c>
    </row>
    <row r="45" spans="1:17" ht="12.75">
      <c r="A45" s="423" t="s">
        <v>232</v>
      </c>
      <c r="B45" s="404">
        <f>'kostnader bil 3'!B43</f>
        <v>45</v>
      </c>
      <c r="C45" s="405">
        <f>'[7]Delpr bil 4'!G152</f>
        <v>40</v>
      </c>
      <c r="D45" s="406">
        <f t="shared" si="20"/>
        <v>-5</v>
      </c>
      <c r="E45" s="358">
        <f t="shared" si="21"/>
        <v>0</v>
      </c>
      <c r="F45" s="403">
        <f t="shared" si="22"/>
        <v>0</v>
      </c>
      <c r="G45" s="407">
        <f t="shared" si="23"/>
        <v>0</v>
      </c>
      <c r="H45" s="408">
        <f t="shared" si="24"/>
        <v>0</v>
      </c>
      <c r="I45" s="403">
        <f t="shared" si="25"/>
        <v>45</v>
      </c>
      <c r="J45" s="408">
        <f t="shared" si="26"/>
        <v>40</v>
      </c>
      <c r="K45" s="492">
        <f t="shared" si="27"/>
        <v>-5</v>
      </c>
      <c r="L45" s="409"/>
      <c r="M45" s="409">
        <f t="shared" si="0"/>
        <v>0</v>
      </c>
      <c r="N45" s="356">
        <v>0</v>
      </c>
      <c r="O45" s="356">
        <v>0</v>
      </c>
      <c r="P45" s="410">
        <v>0</v>
      </c>
      <c r="Q45" s="410">
        <v>0</v>
      </c>
    </row>
    <row r="46" spans="1:17" ht="12.75">
      <c r="A46" s="411" t="s">
        <v>35</v>
      </c>
      <c r="B46" s="412">
        <f>SUM(B38:B45)</f>
        <v>615</v>
      </c>
      <c r="C46" s="413">
        <f>SUM(C38:C45)</f>
        <v>736</v>
      </c>
      <c r="D46" s="414">
        <f t="shared" si="20"/>
        <v>121</v>
      </c>
      <c r="E46" s="412">
        <f aca="true" t="shared" si="28" ref="E46:J46">SUM(E38:E45)</f>
        <v>616.2028776978418</v>
      </c>
      <c r="F46" s="415">
        <f t="shared" si="28"/>
        <v>782.3861979324106</v>
      </c>
      <c r="G46" s="413">
        <f t="shared" si="28"/>
        <v>543.3451369216242</v>
      </c>
      <c r="H46" s="416">
        <f t="shared" si="28"/>
        <v>764.8978844248456</v>
      </c>
      <c r="I46" s="415">
        <f t="shared" si="28"/>
        <v>2013.5890756302524</v>
      </c>
      <c r="J46" s="416">
        <f t="shared" si="28"/>
        <v>2044.2430213464697</v>
      </c>
      <c r="K46" s="417">
        <f>+J46-I46</f>
        <v>30.653945716217322</v>
      </c>
      <c r="L46" s="418"/>
      <c r="M46" s="409">
        <f t="shared" si="0"/>
        <v>1398.5890756302524</v>
      </c>
      <c r="P46" s="509"/>
      <c r="Q46" s="509"/>
    </row>
    <row r="47" spans="1:17" ht="12.75">
      <c r="A47" s="423"/>
      <c r="B47" s="404"/>
      <c r="C47" s="405"/>
      <c r="D47" s="424"/>
      <c r="E47" s="409"/>
      <c r="F47" s="409"/>
      <c r="G47" s="357"/>
      <c r="H47" s="357"/>
      <c r="I47" s="372"/>
      <c r="J47" s="425"/>
      <c r="K47" s="409"/>
      <c r="M47" s="409">
        <f t="shared" si="0"/>
        <v>0</v>
      </c>
      <c r="N47" s="419"/>
      <c r="O47" s="419"/>
      <c r="P47" s="410"/>
      <c r="Q47" s="410"/>
    </row>
    <row r="48" spans="1:17" ht="12.75">
      <c r="A48" s="355" t="s">
        <v>233</v>
      </c>
      <c r="B48" s="372"/>
      <c r="C48" s="357"/>
      <c r="D48" s="424"/>
      <c r="E48" s="409"/>
      <c r="F48" s="409"/>
      <c r="G48" s="357"/>
      <c r="H48" s="357"/>
      <c r="I48" s="372"/>
      <c r="J48" s="425"/>
      <c r="K48" s="409"/>
      <c r="M48" s="409">
        <f t="shared" si="0"/>
        <v>0</v>
      </c>
      <c r="P48" s="410"/>
      <c r="Q48" s="410"/>
    </row>
    <row r="49" spans="1:17" ht="12.75">
      <c r="A49" s="508" t="s">
        <v>339</v>
      </c>
      <c r="B49" s="486">
        <f>'kostnader bil 3'!B47</f>
        <v>2146</v>
      </c>
      <c r="C49" s="486">
        <f>'[7]verksamplan bil 3'!F44</f>
        <v>2615</v>
      </c>
      <c r="D49" s="487">
        <f>+C49-B49</f>
        <v>469</v>
      </c>
      <c r="E49" s="488">
        <f>(P49/$P$55)*$B$77</f>
        <v>384.4201438848921</v>
      </c>
      <c r="F49" s="489">
        <f>(Q49/$Q$55)*$B$79</f>
        <v>488.0941418293937</v>
      </c>
      <c r="G49" s="488">
        <f>(N49/$N$55)*$C$77</f>
        <v>321.28234183191694</v>
      </c>
      <c r="H49" s="489">
        <f>(O49/$O$55)*$C$79</f>
        <v>452.287444703387</v>
      </c>
      <c r="I49" s="491">
        <f>B49+E49+F49</f>
        <v>3018.514285714286</v>
      </c>
      <c r="J49" s="489">
        <f>C49+G49+H49</f>
        <v>3388.5697865353036</v>
      </c>
      <c r="K49" s="489">
        <f>+J49-I49</f>
        <v>370.05550082101763</v>
      </c>
      <c r="L49" s="409"/>
      <c r="M49" s="409">
        <f t="shared" si="0"/>
        <v>872.5142857142858</v>
      </c>
      <c r="N49" s="356">
        <v>0.68</v>
      </c>
      <c r="O49" s="356">
        <v>0.68</v>
      </c>
      <c r="P49" s="410">
        <v>0.68</v>
      </c>
      <c r="Q49" s="410">
        <v>0.68</v>
      </c>
    </row>
    <row r="50" spans="1:17" ht="12.75">
      <c r="A50" s="423" t="s">
        <v>234</v>
      </c>
      <c r="B50" s="404">
        <f>'kostnader bil 3'!B48</f>
        <v>7428</v>
      </c>
      <c r="C50" s="405">
        <f>'[7]verksamplan bil 3'!F45</f>
        <v>4483</v>
      </c>
      <c r="D50" s="406">
        <f>+C50-B50</f>
        <v>-2945</v>
      </c>
      <c r="E50" s="358">
        <f>(P50/$P$55)*$B$77</f>
        <v>525.7510791366907</v>
      </c>
      <c r="F50" s="403">
        <f>(Q50/$Q$55)*$B$79</f>
        <v>667.5405175019649</v>
      </c>
      <c r="G50" s="407">
        <f>(N50/$N$55)*$C$77</f>
        <v>552.7946175637393</v>
      </c>
      <c r="H50" s="408">
        <f>(O50/$O$55)*$C$79</f>
        <v>778.2004563278863</v>
      </c>
      <c r="I50" s="380">
        <f>B50+E50+F50</f>
        <v>8621.291596638655</v>
      </c>
      <c r="J50" s="408">
        <f>C50+G50+H50</f>
        <v>5813.995073891625</v>
      </c>
      <c r="K50" s="403">
        <f>+J50-I50</f>
        <v>-2807.2965227470304</v>
      </c>
      <c r="L50" s="409"/>
      <c r="M50" s="409">
        <f t="shared" si="0"/>
        <v>1193.2915966386556</v>
      </c>
      <c r="N50" s="356">
        <v>1.17</v>
      </c>
      <c r="O50" s="356">
        <v>1.17</v>
      </c>
      <c r="P50" s="410">
        <v>0.93</v>
      </c>
      <c r="Q50" s="410">
        <v>0.93</v>
      </c>
    </row>
    <row r="51" spans="1:17" ht="12.75">
      <c r="A51" s="508" t="s">
        <v>265</v>
      </c>
      <c r="B51" s="486">
        <f>'kostnader bil 3'!B49</f>
        <v>90</v>
      </c>
      <c r="C51" s="486">
        <f>'[7]verksamplan bil 3'!F46</f>
        <v>50</v>
      </c>
      <c r="D51" s="487">
        <f>+C51-B51</f>
        <v>-40</v>
      </c>
      <c r="E51" s="488">
        <f>(P51/$P$55)*$B$77</f>
        <v>0</v>
      </c>
      <c r="F51" s="489">
        <f>(Q51/$Q$55)*$B$79</f>
        <v>0</v>
      </c>
      <c r="G51" s="488">
        <f>(N51/$N$55)*$C$77</f>
        <v>0</v>
      </c>
      <c r="H51" s="489">
        <f>(O51/$O$55)*$C$79</f>
        <v>0</v>
      </c>
      <c r="I51" s="491">
        <f>B51+E51+F51</f>
        <v>90</v>
      </c>
      <c r="J51" s="489">
        <f>C51+G51+H51</f>
        <v>50</v>
      </c>
      <c r="K51" s="489"/>
      <c r="L51" s="409"/>
      <c r="M51" s="409">
        <f t="shared" si="0"/>
        <v>0</v>
      </c>
      <c r="P51" s="410">
        <v>0</v>
      </c>
      <c r="Q51" s="410">
        <v>0</v>
      </c>
    </row>
    <row r="52" spans="1:17" ht="12.75">
      <c r="A52" s="423" t="s">
        <v>340</v>
      </c>
      <c r="B52" s="404">
        <f>'kostnader bil 3'!B50</f>
        <v>65</v>
      </c>
      <c r="C52" s="405">
        <f>'[7]verksamplan bil 3'!F47</f>
        <v>65</v>
      </c>
      <c r="D52" s="406">
        <f>+C52-B52</f>
        <v>0</v>
      </c>
      <c r="E52" s="358">
        <f>(P52/$P$55)*$B$77</f>
        <v>0</v>
      </c>
      <c r="F52" s="403">
        <f>(Q52/$Q$55)*$B$79</f>
        <v>0</v>
      </c>
      <c r="G52" s="407">
        <f>(N52/$N$55)*$C$77</f>
        <v>0</v>
      </c>
      <c r="H52" s="408">
        <f>(O52/$O$55)*$C$79</f>
        <v>0</v>
      </c>
      <c r="I52" s="380">
        <f>B52+E52+F52</f>
        <v>65</v>
      </c>
      <c r="J52" s="408">
        <f>C52+G52+H52</f>
        <v>65</v>
      </c>
      <c r="K52" s="403"/>
      <c r="L52" s="409"/>
      <c r="M52" s="409">
        <f t="shared" si="0"/>
        <v>0</v>
      </c>
      <c r="P52" s="410">
        <v>0</v>
      </c>
      <c r="Q52" s="410">
        <v>0</v>
      </c>
    </row>
    <row r="53" spans="1:17" s="435" customFormat="1" ht="12.75">
      <c r="A53" s="510" t="s">
        <v>249</v>
      </c>
      <c r="B53" s="426">
        <f>'kostnader bil 3'!B51</f>
        <v>-700</v>
      </c>
      <c r="C53" s="427">
        <f>'[7]verksamplan bil 3'!F48</f>
        <v>-493</v>
      </c>
      <c r="D53" s="428">
        <f>+C53-B53</f>
        <v>207</v>
      </c>
      <c r="E53" s="358">
        <f>(P53/$P$55)*$B$77</f>
        <v>0</v>
      </c>
      <c r="F53" s="429">
        <v>0</v>
      </c>
      <c r="G53" s="430">
        <f>(N53/$N$55)*$C$77</f>
        <v>0</v>
      </c>
      <c r="H53" s="430">
        <v>0</v>
      </c>
      <c r="I53" s="431">
        <f>B53+E53+F53</f>
        <v>-700</v>
      </c>
      <c r="J53" s="432">
        <f>C53+G53+H53</f>
        <v>-493</v>
      </c>
      <c r="K53" s="429"/>
      <c r="L53" s="433"/>
      <c r="M53" s="409">
        <f t="shared" si="0"/>
        <v>0</v>
      </c>
      <c r="N53" s="434"/>
      <c r="O53" s="434"/>
      <c r="P53" s="410"/>
      <c r="Q53" s="410"/>
    </row>
    <row r="54" spans="1:17" ht="12.75">
      <c r="A54" s="411" t="s">
        <v>35</v>
      </c>
      <c r="B54" s="436">
        <f>SUM(B49:B53)</f>
        <v>9029</v>
      </c>
      <c r="C54" s="437">
        <f>SUM(C49:C53)</f>
        <v>6720</v>
      </c>
      <c r="D54" s="414">
        <f>C54-B54</f>
        <v>-2309</v>
      </c>
      <c r="E54" s="412">
        <f aca="true" t="shared" si="29" ref="E54:J54">SUM(E49:E53)</f>
        <v>910.1712230215828</v>
      </c>
      <c r="F54" s="415">
        <f t="shared" si="29"/>
        <v>1155.6346593313588</v>
      </c>
      <c r="G54" s="413">
        <f t="shared" si="29"/>
        <v>874.0769593956562</v>
      </c>
      <c r="H54" s="416">
        <f t="shared" si="29"/>
        <v>1230.4879010312734</v>
      </c>
      <c r="I54" s="438">
        <f t="shared" si="29"/>
        <v>11094.80588235294</v>
      </c>
      <c r="J54" s="439">
        <f t="shared" si="29"/>
        <v>8824.564860426928</v>
      </c>
      <c r="K54" s="417">
        <f>+J54-I54</f>
        <v>-2270.2410219260128</v>
      </c>
      <c r="L54" s="418"/>
      <c r="M54" s="409">
        <f t="shared" si="0"/>
        <v>2065.805882352942</v>
      </c>
      <c r="P54" s="509"/>
      <c r="Q54" s="509"/>
    </row>
    <row r="55" spans="1:17" ht="12.75">
      <c r="A55" s="440" t="s">
        <v>341</v>
      </c>
      <c r="B55" s="436">
        <f>B14+B24+B35+B46+B54</f>
        <v>15708</v>
      </c>
      <c r="C55" s="436">
        <f>C14+C24+C35+C46+C54</f>
        <v>11862</v>
      </c>
      <c r="D55" s="414"/>
      <c r="E55" s="441">
        <f aca="true" t="shared" si="30" ref="E55:J55">E14+E24+E35+E46+E54</f>
        <v>6699.086330935251</v>
      </c>
      <c r="F55" s="442">
        <f t="shared" si="30"/>
        <v>8505.758206879875</v>
      </c>
      <c r="G55" s="436">
        <f t="shared" si="30"/>
        <v>5754.7337110481585</v>
      </c>
      <c r="H55" s="443">
        <f t="shared" si="30"/>
        <v>8101.266288951843</v>
      </c>
      <c r="I55" s="442">
        <f t="shared" si="30"/>
        <v>30977</v>
      </c>
      <c r="J55" s="442">
        <f t="shared" si="30"/>
        <v>25718</v>
      </c>
      <c r="K55" s="444">
        <f>+J55-I55</f>
        <v>-5259</v>
      </c>
      <c r="L55" s="410"/>
      <c r="M55" s="409">
        <f t="shared" si="0"/>
        <v>15204.844537815126</v>
      </c>
      <c r="N55" s="410">
        <f>SUM(N10:N54)</f>
        <v>12.179999999999998</v>
      </c>
      <c r="O55" s="410">
        <f>SUM(O10:O54)</f>
        <v>12.179999999999998</v>
      </c>
      <c r="P55" s="410">
        <f>SUM(P10:P54)</f>
        <v>11.899999999999999</v>
      </c>
      <c r="Q55" s="410">
        <f>SUM(Q10:Q54)</f>
        <v>11.899999999999999</v>
      </c>
    </row>
    <row r="56" spans="4:17" ht="12.75">
      <c r="D56" s="420"/>
      <c r="E56" s="351"/>
      <c r="F56" s="351"/>
      <c r="J56" s="407"/>
      <c r="N56" s="419"/>
      <c r="O56" s="419"/>
      <c r="P56" s="410"/>
      <c r="Q56" s="410"/>
    </row>
    <row r="57" spans="1:17" ht="12.75">
      <c r="A57" s="361" t="s">
        <v>237</v>
      </c>
      <c r="D57" s="420"/>
      <c r="E57" s="351"/>
      <c r="F57" s="351"/>
      <c r="J57" s="407"/>
      <c r="N57" s="445"/>
      <c r="O57" s="445"/>
      <c r="P57" s="410"/>
      <c r="Q57" s="410"/>
    </row>
    <row r="58" spans="1:17" ht="12.75">
      <c r="A58" s="423" t="s">
        <v>70</v>
      </c>
      <c r="B58" s="404">
        <v>2516</v>
      </c>
      <c r="C58" s="405">
        <f>'[7]verksamplan bil 3'!F53</f>
        <v>2909</v>
      </c>
      <c r="D58" s="406">
        <f aca="true" t="shared" si="31" ref="D58:D64">+C58-B58</f>
        <v>393</v>
      </c>
      <c r="E58" s="351"/>
      <c r="F58" s="351"/>
      <c r="I58" s="358"/>
      <c r="J58" s="407"/>
      <c r="N58" s="357"/>
      <c r="O58" s="357"/>
      <c r="P58" s="509"/>
      <c r="Q58" s="509"/>
    </row>
    <row r="59" spans="1:16" ht="12.75">
      <c r="A59" s="423" t="s">
        <v>151</v>
      </c>
      <c r="B59" s="404">
        <v>16</v>
      </c>
      <c r="C59" s="405">
        <f>'[7]verksamplan bil 3'!F54</f>
        <v>25</v>
      </c>
      <c r="D59" s="406">
        <f t="shared" si="31"/>
        <v>9</v>
      </c>
      <c r="E59" s="351"/>
      <c r="F59" s="351"/>
      <c r="J59" s="407"/>
      <c r="N59" s="357"/>
      <c r="O59" s="511"/>
      <c r="P59" s="410"/>
    </row>
    <row r="60" spans="1:16" ht="12.75">
      <c r="A60" s="381" t="s">
        <v>115</v>
      </c>
      <c r="B60" s="404">
        <v>390</v>
      </c>
      <c r="C60" s="405">
        <f>'[7]verksamplan bil 3'!F55</f>
        <v>390</v>
      </c>
      <c r="D60" s="406">
        <f t="shared" si="31"/>
        <v>0</v>
      </c>
      <c r="E60" s="351"/>
      <c r="F60" s="351"/>
      <c r="J60" s="407"/>
      <c r="N60" s="357"/>
      <c r="O60" s="357"/>
      <c r="P60" s="410"/>
    </row>
    <row r="61" spans="1:16" ht="12.75">
      <c r="A61" s="381" t="s">
        <v>83</v>
      </c>
      <c r="B61" s="404">
        <v>75</v>
      </c>
      <c r="C61" s="405">
        <f>'[7]verksamplan bil 3'!F56</f>
        <v>115</v>
      </c>
      <c r="D61" s="406">
        <f t="shared" si="31"/>
        <v>40</v>
      </c>
      <c r="E61" s="351"/>
      <c r="F61" s="351"/>
      <c r="J61" s="407"/>
      <c r="N61" s="357"/>
      <c r="O61" s="512"/>
      <c r="P61" s="410"/>
    </row>
    <row r="62" spans="1:16" ht="12.75">
      <c r="A62" s="423" t="s">
        <v>81</v>
      </c>
      <c r="B62" s="404">
        <v>485</v>
      </c>
      <c r="C62" s="405">
        <f>'[7]verksamplan bil 3'!F57</f>
        <v>410</v>
      </c>
      <c r="D62" s="406">
        <f t="shared" si="31"/>
        <v>-75</v>
      </c>
      <c r="E62" s="351"/>
      <c r="F62" s="351"/>
      <c r="J62" s="407"/>
      <c r="N62" s="352"/>
      <c r="O62" s="352"/>
      <c r="P62" s="410"/>
    </row>
    <row r="63" spans="1:17" ht="12.75">
      <c r="A63" s="423" t="s">
        <v>342</v>
      </c>
      <c r="B63" s="404">
        <v>11787</v>
      </c>
      <c r="C63" s="405">
        <f>'[7]verksamplan bil 3'!F58</f>
        <v>10007</v>
      </c>
      <c r="D63" s="406">
        <f t="shared" si="31"/>
        <v>-1780</v>
      </c>
      <c r="E63" s="351"/>
      <c r="F63" s="351"/>
      <c r="J63" s="407"/>
      <c r="N63" s="352" t="s">
        <v>343</v>
      </c>
      <c r="O63" s="352">
        <v>9</v>
      </c>
      <c r="P63" s="513" t="s">
        <v>343</v>
      </c>
      <c r="Q63" s="372">
        <v>8.9</v>
      </c>
    </row>
    <row r="64" spans="1:17" ht="13.5" thickBot="1">
      <c r="A64" s="411" t="s">
        <v>35</v>
      </c>
      <c r="B64" s="412">
        <f>SUM(B58:B63)</f>
        <v>15269</v>
      </c>
      <c r="C64" s="413">
        <f>SUM(C58:C63)</f>
        <v>13856</v>
      </c>
      <c r="D64" s="446">
        <f t="shared" si="31"/>
        <v>-1413</v>
      </c>
      <c r="E64" s="351"/>
      <c r="F64" s="351"/>
      <c r="J64" s="407"/>
      <c r="N64" s="352" t="s">
        <v>344</v>
      </c>
      <c r="O64" s="352">
        <f>SUM(O63:O63)</f>
        <v>9</v>
      </c>
      <c r="P64" s="513" t="s">
        <v>361</v>
      </c>
      <c r="Q64" s="514">
        <v>0.05</v>
      </c>
    </row>
    <row r="65" spans="1:17" ht="13.5" thickBot="1">
      <c r="A65" s="447"/>
      <c r="B65" s="422"/>
      <c r="C65" s="448"/>
      <c r="D65" s="420"/>
      <c r="E65" s="449"/>
      <c r="F65" s="449"/>
      <c r="G65" s="450"/>
      <c r="H65" s="450"/>
      <c r="I65" s="449"/>
      <c r="J65" s="451"/>
      <c r="K65" s="452"/>
      <c r="L65" s="372"/>
      <c r="M65" s="372"/>
      <c r="N65" s="453" t="s">
        <v>345</v>
      </c>
      <c r="O65" s="485">
        <f>9+12.18</f>
        <v>21.18</v>
      </c>
      <c r="P65" s="513" t="s">
        <v>344</v>
      </c>
      <c r="Q65" s="372">
        <f>SUM(Q63:Q64)</f>
        <v>8.950000000000001</v>
      </c>
    </row>
    <row r="66" spans="1:17" ht="13.5" thickBot="1">
      <c r="A66" s="440" t="s">
        <v>346</v>
      </c>
      <c r="B66" s="412">
        <f>B55+B64</f>
        <v>30977</v>
      </c>
      <c r="C66" s="413">
        <f>C55+C64</f>
        <v>25718</v>
      </c>
      <c r="D66" s="414">
        <f>C66-B66</f>
        <v>-5259</v>
      </c>
      <c r="E66" s="454"/>
      <c r="F66" s="454"/>
      <c r="G66" s="455"/>
      <c r="H66" s="455"/>
      <c r="I66" s="456">
        <f>I55</f>
        <v>30977</v>
      </c>
      <c r="J66" s="413">
        <f>J55</f>
        <v>25718</v>
      </c>
      <c r="K66" s="444">
        <f>+J66-I66</f>
        <v>-5259</v>
      </c>
      <c r="L66" s="418"/>
      <c r="M66" s="418"/>
      <c r="P66" s="515" t="s">
        <v>345</v>
      </c>
      <c r="Q66" s="516">
        <f>Q55+Q65</f>
        <v>20.85</v>
      </c>
    </row>
    <row r="67" spans="4:16" ht="12.75">
      <c r="D67" s="420"/>
      <c r="E67" s="351"/>
      <c r="F67" s="351"/>
      <c r="J67" s="407"/>
      <c r="P67" s="410"/>
    </row>
    <row r="68" spans="1:16" ht="12.75">
      <c r="A68" s="361" t="s">
        <v>347</v>
      </c>
      <c r="D68" s="420"/>
      <c r="E68" s="351"/>
      <c r="F68" s="351"/>
      <c r="J68" s="407"/>
      <c r="P68" s="410"/>
    </row>
    <row r="69" spans="1:16" ht="12.75">
      <c r="A69" s="423" t="s">
        <v>348</v>
      </c>
      <c r="B69" s="404">
        <v>13850</v>
      </c>
      <c r="C69" s="405">
        <f>'[7]verksamplan bil 3'!F64</f>
        <v>13122</v>
      </c>
      <c r="D69" s="406">
        <f>+C69-B69</f>
        <v>-728</v>
      </c>
      <c r="E69" s="351"/>
      <c r="F69" s="372"/>
      <c r="H69" s="357"/>
      <c r="I69" s="457">
        <f>+B69</f>
        <v>13850</v>
      </c>
      <c r="J69" s="408">
        <f>C69</f>
        <v>13122</v>
      </c>
      <c r="K69" s="403">
        <f>+J69-I69</f>
        <v>-728</v>
      </c>
      <c r="L69" s="409"/>
      <c r="M69" s="409"/>
      <c r="P69" s="410"/>
    </row>
    <row r="70" spans="1:16" ht="12.75">
      <c r="A70" s="411" t="s">
        <v>35</v>
      </c>
      <c r="B70" s="436">
        <f>SUM(B69)</f>
        <v>13850</v>
      </c>
      <c r="C70" s="437">
        <f>SUM(C69)</f>
        <v>13122</v>
      </c>
      <c r="D70" s="458">
        <f>+C70-B70</f>
        <v>-728</v>
      </c>
      <c r="E70" s="454"/>
      <c r="F70" s="454"/>
      <c r="G70" s="455"/>
      <c r="H70" s="455"/>
      <c r="I70" s="441">
        <f>SUM(I69)</f>
        <v>13850</v>
      </c>
      <c r="J70" s="439">
        <f>SUM(J69)</f>
        <v>13122</v>
      </c>
      <c r="K70" s="444">
        <f>+J70-I70</f>
        <v>-728</v>
      </c>
      <c r="L70" s="418"/>
      <c r="M70" s="418"/>
      <c r="P70" s="410"/>
    </row>
    <row r="71" spans="4:16" ht="12.75">
      <c r="D71" s="459"/>
      <c r="E71" s="351"/>
      <c r="F71" s="351"/>
      <c r="J71" s="407"/>
      <c r="P71" s="410"/>
    </row>
    <row r="72" spans="1:16" ht="12.75">
      <c r="A72" s="460" t="s">
        <v>349</v>
      </c>
      <c r="B72" s="443">
        <f>B66+B70</f>
        <v>44827</v>
      </c>
      <c r="C72" s="461">
        <f>C66+C70</f>
        <v>38840</v>
      </c>
      <c r="D72" s="414">
        <f>C72-B72</f>
        <v>-5987</v>
      </c>
      <c r="E72" s="462"/>
      <c r="F72" s="462"/>
      <c r="G72" s="463"/>
      <c r="H72" s="463"/>
      <c r="I72" s="464">
        <f>I55+I70</f>
        <v>44827</v>
      </c>
      <c r="J72" s="465">
        <f>J55+J70</f>
        <v>38840</v>
      </c>
      <c r="K72" s="464">
        <f>+J72-I72</f>
        <v>-5987</v>
      </c>
      <c r="L72" s="418"/>
      <c r="M72" s="418"/>
      <c r="P72" s="410"/>
    </row>
    <row r="73" spans="16:17" ht="12.75">
      <c r="P73" s="410"/>
      <c r="Q73" s="355"/>
    </row>
    <row r="74" ht="12.75">
      <c r="P74" s="410"/>
    </row>
    <row r="75" spans="1:17" ht="12.75">
      <c r="A75" s="466" t="s">
        <v>242</v>
      </c>
      <c r="B75" s="467">
        <v>2006</v>
      </c>
      <c r="C75" s="468">
        <v>2005</v>
      </c>
      <c r="D75" s="469" t="s">
        <v>350</v>
      </c>
      <c r="E75" s="470" t="s">
        <v>351</v>
      </c>
      <c r="F75" s="471"/>
      <c r="I75" s="358"/>
      <c r="P75" s="410"/>
      <c r="Q75" s="355"/>
    </row>
    <row r="76" spans="1:16" ht="12.75">
      <c r="A76" s="381" t="s">
        <v>352</v>
      </c>
      <c r="B76" s="358">
        <v>13011</v>
      </c>
      <c r="C76" s="407">
        <f>C55</f>
        <v>11862</v>
      </c>
      <c r="D76" s="472">
        <f aca="true" t="shared" si="32" ref="D76:D82">+C76-B76</f>
        <v>-1149</v>
      </c>
      <c r="E76" s="473">
        <f aca="true" t="shared" si="33" ref="E76:E82">+(C76-B76)/B76</f>
        <v>-0.08830989163015909</v>
      </c>
      <c r="F76" s="353"/>
      <c r="P76" s="410"/>
    </row>
    <row r="77" spans="1:16" ht="12.75">
      <c r="A77" s="474" t="s">
        <v>353</v>
      </c>
      <c r="B77" s="475">
        <f>B63*(Q55/Q66)</f>
        <v>6727.352517985611</v>
      </c>
      <c r="C77" s="475">
        <f>(N55/O65)*C63</f>
        <v>5754.733711048158</v>
      </c>
      <c r="D77" s="476">
        <f t="shared" si="32"/>
        <v>-972.618806937453</v>
      </c>
      <c r="E77" s="477">
        <f t="shared" si="33"/>
        <v>-0.14457675650817342</v>
      </c>
      <c r="F77" s="353"/>
      <c r="P77" s="410"/>
    </row>
    <row r="78" spans="1:16" ht="12.75">
      <c r="A78" s="381" t="s">
        <v>354</v>
      </c>
      <c r="B78" s="358">
        <f>B76+B77</f>
        <v>19738.35251798561</v>
      </c>
      <c r="C78" s="407">
        <f>C76+C77</f>
        <v>17616.733711048157</v>
      </c>
      <c r="D78" s="472">
        <f t="shared" si="32"/>
        <v>-2121.618806937455</v>
      </c>
      <c r="E78" s="473">
        <f t="shared" si="33"/>
        <v>-0.10748712715533038</v>
      </c>
      <c r="F78" s="358"/>
      <c r="P78" s="410"/>
    </row>
    <row r="79" spans="1:16" ht="12.75">
      <c r="A79" s="474" t="s">
        <v>355</v>
      </c>
      <c r="B79" s="478">
        <f>((Q65/Q66)*B63)+B62+B61+B60+B59+B58</f>
        <v>8541.647482014389</v>
      </c>
      <c r="C79" s="475">
        <f>((O64/O65)*C63)+C58+C59+C60+C61+C62</f>
        <v>8101.2662889518415</v>
      </c>
      <c r="D79" s="476">
        <f t="shared" si="32"/>
        <v>-440.381193062547</v>
      </c>
      <c r="E79" s="477">
        <f t="shared" si="33"/>
        <v>-0.051556938399744325</v>
      </c>
      <c r="F79" s="479"/>
      <c r="P79" s="410"/>
    </row>
    <row r="80" spans="1:16" ht="12.75">
      <c r="A80" s="381" t="s">
        <v>356</v>
      </c>
      <c r="B80" s="358">
        <f>B78+B79</f>
        <v>28280</v>
      </c>
      <c r="C80" s="407">
        <f>C78+C79</f>
        <v>25718</v>
      </c>
      <c r="D80" s="472">
        <f t="shared" si="32"/>
        <v>-2562</v>
      </c>
      <c r="E80" s="473">
        <f t="shared" si="33"/>
        <v>-0.09059405940594059</v>
      </c>
      <c r="F80" s="358"/>
      <c r="P80" s="410"/>
    </row>
    <row r="81" spans="1:16" ht="12.75">
      <c r="A81" s="474" t="s">
        <v>69</v>
      </c>
      <c r="B81" s="478">
        <f>B70</f>
        <v>13850</v>
      </c>
      <c r="C81" s="475">
        <f>C70</f>
        <v>13122</v>
      </c>
      <c r="D81" s="476">
        <f t="shared" si="32"/>
        <v>-728</v>
      </c>
      <c r="E81" s="477">
        <f t="shared" si="33"/>
        <v>-0.05256317689530686</v>
      </c>
      <c r="F81" s="479"/>
      <c r="P81" s="410"/>
    </row>
    <row r="82" spans="1:16" ht="12.75">
      <c r="A82" s="361" t="s">
        <v>357</v>
      </c>
      <c r="B82" s="480">
        <f>B80+B81</f>
        <v>42130</v>
      </c>
      <c r="C82" s="481">
        <f>C80+C81</f>
        <v>38840</v>
      </c>
      <c r="D82" s="482">
        <f t="shared" si="32"/>
        <v>-3290</v>
      </c>
      <c r="E82" s="473">
        <f t="shared" si="33"/>
        <v>-0.07809162117256112</v>
      </c>
      <c r="F82" s="483"/>
      <c r="P82" s="410"/>
    </row>
    <row r="83" spans="2:16" ht="12.75">
      <c r="B83" s="358"/>
      <c r="G83" s="484"/>
      <c r="P83" s="410"/>
    </row>
    <row r="84" spans="1:16" ht="12.75">
      <c r="A84" s="361"/>
      <c r="B84" s="358"/>
      <c r="G84" s="484"/>
      <c r="P84" s="410"/>
    </row>
    <row r="85" ht="12.75"/>
  </sheetData>
  <mergeCells count="4">
    <mergeCell ref="N6:O6"/>
    <mergeCell ref="N7:O7"/>
    <mergeCell ref="P6:Q6"/>
    <mergeCell ref="P7:Q7"/>
  </mergeCells>
  <printOptions/>
  <pageMargins left="0.75" right="0.75" top="1" bottom="1" header="0.5" footer="0.5"/>
  <pageSetup horizontalDpi="600" verticalDpi="600" orientation="landscape" paperSize="9" scale="97" r:id="rId4"/>
  <rowBreaks count="1" manualBreakCount="1">
    <brk id="47" max="10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D2" sqref="D2"/>
    </sheetView>
  </sheetViews>
  <sheetFormatPr defaultColWidth="9.140625" defaultRowHeight="12.75"/>
  <cols>
    <col min="1" max="1" width="44.140625" style="69" customWidth="1"/>
    <col min="2" max="3" width="8.8515625" style="69" customWidth="1"/>
    <col min="4" max="4" width="10.28125" style="69" customWidth="1"/>
    <col min="5" max="6" width="8.8515625" style="69" customWidth="1"/>
    <col min="7" max="7" width="30.7109375" style="69" bestFit="1" customWidth="1"/>
    <col min="8" max="16384" width="8.8515625" style="69" customWidth="1"/>
  </cols>
  <sheetData>
    <row r="1" ht="17.25">
      <c r="A1" s="348" t="s">
        <v>368</v>
      </c>
    </row>
    <row r="2" spans="1:4" ht="12">
      <c r="A2" s="525" t="s">
        <v>394</v>
      </c>
      <c r="D2" s="72"/>
    </row>
    <row r="3" ht="14.25" customHeight="1">
      <c r="A3" s="349" t="s">
        <v>116</v>
      </c>
    </row>
    <row r="4" spans="1:2" ht="12">
      <c r="A4" s="341" t="s">
        <v>161</v>
      </c>
      <c r="B4" s="339" t="s">
        <v>309</v>
      </c>
    </row>
    <row r="5" spans="1:2" ht="12">
      <c r="A5" s="343" t="s">
        <v>162</v>
      </c>
      <c r="B5" s="69">
        <v>125</v>
      </c>
    </row>
    <row r="6" spans="1:2" ht="12">
      <c r="A6" s="343" t="s">
        <v>119</v>
      </c>
      <c r="B6" s="69">
        <v>300</v>
      </c>
    </row>
    <row r="7" ht="12">
      <c r="A7" s="342" t="s">
        <v>51</v>
      </c>
    </row>
    <row r="8" spans="1:2" ht="12">
      <c r="A8" s="343" t="s">
        <v>312</v>
      </c>
      <c r="B8" s="69">
        <v>28</v>
      </c>
    </row>
    <row r="9" ht="12">
      <c r="A9" s="343"/>
    </row>
    <row r="10" ht="15.75">
      <c r="A10" s="347" t="s">
        <v>164</v>
      </c>
    </row>
    <row r="11" ht="12">
      <c r="A11" s="341" t="s">
        <v>176</v>
      </c>
    </row>
    <row r="12" spans="1:2" ht="12">
      <c r="A12" s="343" t="s">
        <v>177</v>
      </c>
      <c r="B12" s="69">
        <v>100</v>
      </c>
    </row>
    <row r="13" ht="12">
      <c r="A13" s="343"/>
    </row>
    <row r="14" ht="15.75">
      <c r="A14" s="347" t="s">
        <v>186</v>
      </c>
    </row>
    <row r="15" spans="1:6" ht="12">
      <c r="A15" s="341" t="s">
        <v>42</v>
      </c>
      <c r="B15" s="339"/>
      <c r="E15" s="343"/>
      <c r="F15" s="343"/>
    </row>
    <row r="16" spans="1:8" ht="12">
      <c r="A16" s="343" t="s">
        <v>308</v>
      </c>
      <c r="B16" s="69">
        <v>30</v>
      </c>
      <c r="E16" s="343"/>
      <c r="F16" s="343"/>
      <c r="G16" s="341"/>
      <c r="H16" s="339"/>
    </row>
    <row r="17" spans="1:8" ht="12">
      <c r="A17" s="342" t="s">
        <v>111</v>
      </c>
      <c r="E17" s="343"/>
      <c r="F17" s="343"/>
      <c r="G17" s="341"/>
      <c r="H17" s="339"/>
    </row>
    <row r="18" spans="1:6" ht="12">
      <c r="A18" s="343" t="s">
        <v>194</v>
      </c>
      <c r="B18" s="69">
        <v>150</v>
      </c>
      <c r="E18" s="343"/>
      <c r="F18" s="343"/>
    </row>
    <row r="19" spans="1:6" ht="12">
      <c r="A19" s="343" t="s">
        <v>195</v>
      </c>
      <c r="B19" s="69">
        <v>100</v>
      </c>
      <c r="E19" s="343"/>
      <c r="F19" s="343"/>
    </row>
    <row r="20" spans="1:6" ht="12">
      <c r="A20" s="343" t="s">
        <v>196</v>
      </c>
      <c r="B20" s="69">
        <v>40</v>
      </c>
      <c r="E20" s="343"/>
      <c r="F20" s="343"/>
    </row>
    <row r="21" spans="1:6" ht="12">
      <c r="A21" s="342" t="s">
        <v>3</v>
      </c>
      <c r="E21" s="343"/>
      <c r="F21" s="343"/>
    </row>
    <row r="22" spans="1:6" ht="12">
      <c r="A22" s="343" t="s">
        <v>217</v>
      </c>
      <c r="B22" s="69">
        <v>50</v>
      </c>
      <c r="E22" s="343"/>
      <c r="F22" s="343"/>
    </row>
    <row r="23" spans="1:6" ht="12">
      <c r="A23" s="342" t="s">
        <v>315</v>
      </c>
      <c r="E23" s="343"/>
      <c r="F23" s="343"/>
    </row>
    <row r="24" spans="1:6" ht="12">
      <c r="A24" s="343" t="s">
        <v>316</v>
      </c>
      <c r="B24" s="69">
        <v>400</v>
      </c>
      <c r="E24" s="343"/>
      <c r="F24" s="343"/>
    </row>
    <row r="25" spans="1:6" ht="12">
      <c r="A25" s="343"/>
      <c r="E25" s="343"/>
      <c r="F25" s="343"/>
    </row>
    <row r="26" spans="1:8" ht="15.75">
      <c r="A26" s="347" t="s">
        <v>53</v>
      </c>
      <c r="E26" s="343"/>
      <c r="F26" s="343"/>
      <c r="G26" s="72"/>
      <c r="H26" s="72"/>
    </row>
    <row r="27" spans="1:8" ht="12">
      <c r="A27" s="341" t="s">
        <v>234</v>
      </c>
      <c r="E27" s="343"/>
      <c r="F27" s="343"/>
      <c r="G27" s="72"/>
      <c r="H27" s="72"/>
    </row>
    <row r="28" spans="1:6" ht="12">
      <c r="A28" s="343" t="s">
        <v>203</v>
      </c>
      <c r="B28" s="69">
        <v>100</v>
      </c>
      <c r="E28" s="343"/>
      <c r="F28" s="343"/>
    </row>
    <row r="29" spans="1:6" ht="12">
      <c r="A29" s="343" t="s">
        <v>204</v>
      </c>
      <c r="B29" s="69">
        <v>190</v>
      </c>
      <c r="E29" s="343"/>
      <c r="F29" s="343"/>
    </row>
    <row r="30" spans="1:6" ht="12">
      <c r="A30" s="343"/>
      <c r="E30" s="343"/>
      <c r="F30" s="343"/>
    </row>
    <row r="31" spans="1:6" ht="12">
      <c r="A31" s="343"/>
      <c r="E31" s="343"/>
      <c r="F31" s="343"/>
    </row>
    <row r="32" spans="1:6" ht="12">
      <c r="A32" s="341" t="s">
        <v>35</v>
      </c>
      <c r="B32" s="346">
        <f>SUM(B5:B31)</f>
        <v>1613</v>
      </c>
      <c r="E32" s="343"/>
      <c r="F32" s="343"/>
    </row>
    <row r="33" spans="5:6" ht="12">
      <c r="E33" s="343"/>
      <c r="F33" s="343"/>
    </row>
    <row r="34" spans="5:8" ht="12">
      <c r="E34" s="343"/>
      <c r="F34" s="343"/>
      <c r="G34" s="342"/>
      <c r="H34" s="339"/>
    </row>
    <row r="35" ht="12">
      <c r="H35" s="338"/>
    </row>
    <row r="36" ht="12">
      <c r="H36" s="338"/>
    </row>
    <row r="37" ht="12">
      <c r="H37" s="338"/>
    </row>
    <row r="38" ht="12">
      <c r="H38" s="338"/>
    </row>
    <row r="39" ht="12">
      <c r="H39" s="338"/>
    </row>
    <row r="40" ht="12">
      <c r="H40" s="33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Datoransvarig Amnesty</dc:creator>
  <cp:keywords/>
  <dc:description/>
  <cp:lastModifiedBy>Datoransvarig</cp:lastModifiedBy>
  <cp:lastPrinted>2005-11-25T16:30:11Z</cp:lastPrinted>
  <dcterms:created xsi:type="dcterms:W3CDTF">2002-01-14T13:45:39Z</dcterms:created>
  <dcterms:modified xsi:type="dcterms:W3CDTF">2005-11-28T14:55:22Z</dcterms:modified>
  <cp:category/>
  <cp:version/>
  <cp:contentType/>
  <cp:contentStatus/>
</cp:coreProperties>
</file>