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350" yWindow="65476" windowWidth="8925" windowHeight="12330" tabRatio="610" activeTab="0"/>
  </bookViews>
  <sheets>
    <sheet name="Sammanfattning bil 1" sheetId="1" r:id="rId1"/>
    <sheet name="Intäkter bil 2" sheetId="2" r:id="rId2"/>
    <sheet name="Kostnader bil 3" sheetId="3" r:id="rId3"/>
    <sheet name="Dir samt fördelade kostn bil 4" sheetId="4" r:id="rId4"/>
  </sheets>
  <externalReferences>
    <externalReference r:id="rId7"/>
    <externalReference r:id="rId8"/>
    <externalReference r:id="rId9"/>
  </externalReferences>
  <definedNames>
    <definedName name="Fördelningkostnader">#REF!</definedName>
    <definedName name="Fördelningsprinciper">#REF!</definedName>
    <definedName name="JusteringAmnestyPress">#REF!</definedName>
    <definedName name="Justeringmedlemmar">#REF!</definedName>
    <definedName name="Jämförelse_intäkter_till_och_med_januari__1994_1993" localSheetId="1">'Intäkter bil 2'!$K$94:$N$137</definedName>
    <definedName name="Jämförelse_intäkter_till_och_med_januari__1994_1993">#REF!</definedName>
    <definedName name="Kontofördelning">#REF!</definedName>
    <definedName name="_xlnm.Print_Area" localSheetId="3">'Dir samt fördelade kostn bil 4'!$A$1:$K$95</definedName>
    <definedName name="_xlnm.Print_Area" localSheetId="1">'Intäkter bil 2'!$A$1:$I$91</definedName>
    <definedName name="_xlnm.Print_Area" localSheetId="0">'Sammanfattning bil 1'!$A$1:$H$47</definedName>
    <definedName name="_xlnm.Print_Titles" localSheetId="3">'Dir samt fördelade kostn bil 4'!$5:$8</definedName>
    <definedName name="_xlnm.Print_Titles" localSheetId="2">'Kostnader bil 3'!$5:$6</definedName>
    <definedName name="Res.rapport" localSheetId="1">'Intäkter bil 2'!$A$1:$H$75</definedName>
    <definedName name="Res.rapport">#REF!</definedName>
    <definedName name="Senaste_månaden" localSheetId="1">'Intäkter bil 2'!$K$138:$N$142</definedName>
    <definedName name="Senaste_månaden">#REF!</definedName>
  </definedNames>
  <calcPr fullCalcOnLoad="1"/>
</workbook>
</file>

<file path=xl/comments1.xml><?xml version="1.0" encoding="utf-8"?>
<comments xmlns="http://schemas.openxmlformats.org/spreadsheetml/2006/main">
  <authors>
    <author>Datoransvarig Amnesty</author>
  </authors>
  <commentList>
    <comment ref="F6" authorId="0">
      <text>
        <r>
          <rPr>
            <b/>
            <sz val="8"/>
            <rFont val="Tahoma"/>
            <family val="0"/>
          </rPr>
          <t>Datoransvarig Amnesty:</t>
        </r>
        <r>
          <rPr>
            <sz val="8"/>
            <rFont val="Tahoma"/>
            <family val="0"/>
          </rPr>
          <t xml:space="preserve">
Ej helår
</t>
        </r>
      </text>
    </comment>
  </commentList>
</comments>
</file>

<file path=xl/comments2.xml><?xml version="1.0" encoding="utf-8"?>
<comments xmlns="http://schemas.openxmlformats.org/spreadsheetml/2006/main">
  <authors>
    <author>Datoransvarig Amnesty</author>
    <author>Datoransvarig</author>
  </authors>
  <commentList>
    <comment ref="B16" authorId="0">
      <text>
        <r>
          <rPr>
            <b/>
            <sz val="8"/>
            <rFont val="Tahoma"/>
            <family val="0"/>
          </rPr>
          <t>3211,3212,3213</t>
        </r>
      </text>
    </comment>
    <comment ref="B18" authorId="1">
      <text>
        <r>
          <rPr>
            <sz val="10"/>
            <rFont val="Tahoma"/>
            <family val="0"/>
          </rPr>
          <t xml:space="preserve">3180,3219,3221,3225,3520,3710,3720,3740
</t>
        </r>
      </text>
    </comment>
    <comment ref="B28" authorId="1">
      <text>
        <r>
          <rPr>
            <sz val="10"/>
            <rFont val="Tahoma"/>
            <family val="0"/>
          </rPr>
          <t xml:space="preserve">3160,3161,3162,3192
</t>
        </r>
      </text>
    </comment>
    <comment ref="B29" authorId="1">
      <text>
        <r>
          <rPr>
            <sz val="10"/>
            <rFont val="Tahoma"/>
            <family val="0"/>
          </rPr>
          <t xml:space="preserve">3150,3190,3191
</t>
        </r>
      </text>
    </comment>
    <comment ref="B32" authorId="1">
      <text>
        <r>
          <rPr>
            <b/>
            <sz val="10"/>
            <rFont val="Tahoma"/>
            <family val="0"/>
          </rPr>
          <t>3142</t>
        </r>
        <r>
          <rPr>
            <sz val="10"/>
            <rFont val="Tahoma"/>
            <family val="0"/>
          </rPr>
          <t xml:space="preserve">
</t>
        </r>
      </text>
    </comment>
    <comment ref="B33" authorId="1">
      <text>
        <r>
          <rPr>
            <sz val="10"/>
            <rFont val="Tahoma"/>
            <family val="0"/>
          </rPr>
          <t xml:space="preserve">3140,3141
</t>
        </r>
      </text>
    </comment>
    <comment ref="B36" authorId="1">
      <text>
        <r>
          <rPr>
            <sz val="10"/>
            <rFont val="Tahoma"/>
            <family val="0"/>
          </rPr>
          <t xml:space="preserve">3115,3119,3181,3182,3113,3118,3116
</t>
        </r>
      </text>
    </comment>
    <comment ref="B40" authorId="1">
      <text>
        <r>
          <rPr>
            <sz val="10"/>
            <rFont val="Tahoma"/>
            <family val="0"/>
          </rPr>
          <t xml:space="preserve">
3117
</t>
        </r>
      </text>
    </comment>
    <comment ref="B44" authorId="1">
      <text>
        <r>
          <rPr>
            <b/>
            <sz val="10"/>
            <rFont val="Tahoma"/>
            <family val="0"/>
          </rPr>
          <t>8311,8312</t>
        </r>
        <r>
          <rPr>
            <sz val="10"/>
            <rFont val="Tahoma"/>
            <family val="0"/>
          </rPr>
          <t xml:space="preserve">
</t>
        </r>
      </text>
    </comment>
    <comment ref="B45" authorId="1">
      <text>
        <r>
          <rPr>
            <b/>
            <sz val="10"/>
            <rFont val="Tahoma"/>
            <family val="0"/>
          </rPr>
          <t>3600,3990,3999</t>
        </r>
        <r>
          <rPr>
            <sz val="10"/>
            <rFont val="Tahoma"/>
            <family val="0"/>
          </rPr>
          <t xml:space="preserve">
</t>
        </r>
      </text>
    </comment>
    <comment ref="B35" authorId="1">
      <text>
        <r>
          <rPr>
            <b/>
            <sz val="10"/>
            <rFont val="Tahoma"/>
            <family val="0"/>
          </rPr>
          <t xml:space="preserve">3110,3114
</t>
        </r>
        <r>
          <rPr>
            <sz val="10"/>
            <rFont val="Tahoma"/>
            <family val="0"/>
          </rPr>
          <t xml:space="preserve">
</t>
        </r>
      </text>
    </comment>
    <comment ref="B34" authorId="1">
      <text>
        <r>
          <rPr>
            <b/>
            <sz val="10"/>
            <rFont val="Tahoma"/>
            <family val="0"/>
          </rPr>
          <t>3111</t>
        </r>
        <r>
          <rPr>
            <sz val="10"/>
            <rFont val="Tahoma"/>
            <family val="0"/>
          </rPr>
          <t xml:space="preserve">
</t>
        </r>
      </text>
    </comment>
    <comment ref="D41" authorId="1">
      <text>
        <r>
          <rPr>
            <b/>
            <sz val="8"/>
            <rFont val="Tahoma"/>
            <family val="0"/>
          </rPr>
          <t>Datoransvarig:</t>
        </r>
        <r>
          <rPr>
            <sz val="8"/>
            <rFont val="Tahoma"/>
            <family val="0"/>
          </rPr>
          <t xml:space="preserve">
(32480-400-860)*-0,11</t>
        </r>
      </text>
    </comment>
    <comment ref="F16" authorId="0">
      <text>
        <r>
          <rPr>
            <b/>
            <sz val="8"/>
            <rFont val="Tahoma"/>
            <family val="0"/>
          </rPr>
          <t>3211,3212,3213</t>
        </r>
      </text>
    </comment>
    <comment ref="F18" authorId="1">
      <text>
        <r>
          <rPr>
            <sz val="10"/>
            <rFont val="Tahoma"/>
            <family val="0"/>
          </rPr>
          <t xml:space="preserve">3180,3225,3520,3540,
3710,3720,3740, 3219
</t>
        </r>
      </text>
    </comment>
    <comment ref="F28" authorId="1">
      <text>
        <r>
          <rPr>
            <sz val="10"/>
            <rFont val="Tahoma"/>
            <family val="0"/>
          </rPr>
          <t xml:space="preserve">3160,3161,3162,3192
</t>
        </r>
      </text>
    </comment>
    <comment ref="F29" authorId="1">
      <text>
        <r>
          <rPr>
            <sz val="10"/>
            <rFont val="Tahoma"/>
            <family val="0"/>
          </rPr>
          <t xml:space="preserve">3150,3190,3191
</t>
        </r>
      </text>
    </comment>
    <comment ref="F32" authorId="1">
      <text>
        <r>
          <rPr>
            <b/>
            <sz val="10"/>
            <rFont val="Tahoma"/>
            <family val="0"/>
          </rPr>
          <t>3142,3270</t>
        </r>
        <r>
          <rPr>
            <sz val="10"/>
            <rFont val="Tahoma"/>
            <family val="0"/>
          </rPr>
          <t xml:space="preserve">
</t>
        </r>
      </text>
    </comment>
    <comment ref="F33" authorId="1">
      <text>
        <r>
          <rPr>
            <sz val="10"/>
            <rFont val="Tahoma"/>
            <family val="0"/>
          </rPr>
          <t xml:space="preserve">3140,3141
</t>
        </r>
      </text>
    </comment>
    <comment ref="F34" authorId="1">
      <text>
        <r>
          <rPr>
            <b/>
            <sz val="10"/>
            <rFont val="Tahoma"/>
            <family val="0"/>
          </rPr>
          <t>3111</t>
        </r>
        <r>
          <rPr>
            <sz val="10"/>
            <rFont val="Tahoma"/>
            <family val="0"/>
          </rPr>
          <t xml:space="preserve">
</t>
        </r>
      </text>
    </comment>
    <comment ref="F35" authorId="1">
      <text>
        <r>
          <rPr>
            <b/>
            <sz val="10"/>
            <rFont val="Tahoma"/>
            <family val="0"/>
          </rPr>
          <t xml:space="preserve">3110,3114
</t>
        </r>
        <r>
          <rPr>
            <sz val="10"/>
            <rFont val="Tahoma"/>
            <family val="0"/>
          </rPr>
          <t xml:space="preserve">
</t>
        </r>
      </text>
    </comment>
    <comment ref="F36" authorId="1">
      <text>
        <r>
          <rPr>
            <sz val="10"/>
            <rFont val="Tahoma"/>
            <family val="0"/>
          </rPr>
          <t xml:space="preserve">3115,3119,3181,3182,
</t>
        </r>
      </text>
    </comment>
    <comment ref="F40" authorId="1">
      <text>
        <r>
          <rPr>
            <sz val="10"/>
            <rFont val="Tahoma"/>
            <family val="0"/>
          </rPr>
          <t xml:space="preserve">
3113,3117,3118,</t>
        </r>
      </text>
    </comment>
    <comment ref="F44" authorId="1">
      <text>
        <r>
          <rPr>
            <b/>
            <sz val="10"/>
            <rFont val="Tahoma"/>
            <family val="0"/>
          </rPr>
          <t>8311,8312</t>
        </r>
        <r>
          <rPr>
            <sz val="10"/>
            <rFont val="Tahoma"/>
            <family val="0"/>
          </rPr>
          <t xml:space="preserve">
</t>
        </r>
      </text>
    </comment>
    <comment ref="F45" authorId="1">
      <text>
        <r>
          <rPr>
            <b/>
            <sz val="10"/>
            <rFont val="Tahoma"/>
            <family val="0"/>
          </rPr>
          <t>3600,3990,3999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Amnesty International</author>
  </authors>
  <commentList>
    <comment ref="L8" authorId="0">
      <text>
        <r>
          <rPr>
            <b/>
            <sz val="8"/>
            <rFont val="Tahoma"/>
            <family val="0"/>
          </rPr>
          <t>Hämtas från filen tidrapporter och sammanställningen där.</t>
        </r>
      </text>
    </comment>
    <comment ref="M8" authorId="0">
      <text>
        <r>
          <rPr>
            <b/>
            <sz val="8"/>
            <rFont val="Tahoma"/>
            <family val="0"/>
          </rPr>
          <t>Programmet tilldelas lika stort administrativt pålägg som det drar lönekostnader.</t>
        </r>
      </text>
    </comment>
    <comment ref="A92" authorId="0">
      <text>
        <r>
          <rPr>
            <b/>
            <sz val="8"/>
            <rFont val="Tahoma"/>
            <family val="0"/>
          </rPr>
          <t>Inklusive fördelade lönekostnader</t>
        </r>
      </text>
    </comment>
  </commentList>
</comments>
</file>

<file path=xl/sharedStrings.xml><?xml version="1.0" encoding="utf-8"?>
<sst xmlns="http://schemas.openxmlformats.org/spreadsheetml/2006/main" count="282" uniqueCount="182">
  <si>
    <t>Bilaga 1</t>
  </si>
  <si>
    <t>Medlemsavgifter</t>
  </si>
  <si>
    <t>Gruppavgifter</t>
  </si>
  <si>
    <t>Försäljning</t>
  </si>
  <si>
    <t>Prenumerationer</t>
  </si>
  <si>
    <t>Gåvor &amp; bidrag</t>
  </si>
  <si>
    <t>Övriga</t>
  </si>
  <si>
    <t>SUMMA INTÄKTER</t>
  </si>
  <si>
    <t xml:space="preserve">KOSTNADER </t>
  </si>
  <si>
    <t>Programverksamhet</t>
  </si>
  <si>
    <t>Personalkostnader</t>
  </si>
  <si>
    <t>Sektionskostnader</t>
  </si>
  <si>
    <t>SUMMA KOSTNADER</t>
  </si>
  <si>
    <t>RESULTAT</t>
  </si>
  <si>
    <t>Intäkter</t>
  </si>
  <si>
    <t>Kostnader</t>
  </si>
  <si>
    <t>Resultat</t>
  </si>
  <si>
    <t>Bilaga 2</t>
  </si>
  <si>
    <t>INTÄKTER</t>
  </si>
  <si>
    <t>Avgifter</t>
  </si>
  <si>
    <t>Helbetalande medl.</t>
  </si>
  <si>
    <t>Delbetalande medl.</t>
  </si>
  <si>
    <t>Summa</t>
  </si>
  <si>
    <t xml:space="preserve">Försäljning </t>
  </si>
  <si>
    <t>Annonser</t>
  </si>
  <si>
    <t>Amnesty Press</t>
  </si>
  <si>
    <t>Kortkampanjen</t>
  </si>
  <si>
    <t>Företagssamarbete</t>
  </si>
  <si>
    <t>Humanfonden (se nedan)</t>
  </si>
  <si>
    <t>Hjälpfonden (se nedan)</t>
  </si>
  <si>
    <t>Övrigt</t>
  </si>
  <si>
    <t>Räntor</t>
  </si>
  <si>
    <t>Fonderna</t>
  </si>
  <si>
    <t>Human</t>
  </si>
  <si>
    <t>Antal</t>
  </si>
  <si>
    <t>Hjälp</t>
  </si>
  <si>
    <t>Bilaga 3</t>
  </si>
  <si>
    <t>DIREKTA PROGRAMKOSTNADER</t>
  </si>
  <si>
    <t xml:space="preserve">Ack </t>
  </si>
  <si>
    <t xml:space="preserve">Budget </t>
  </si>
  <si>
    <t>Prognos</t>
  </si>
  <si>
    <t>Utfall i %</t>
  </si>
  <si>
    <t>4. Medlemmar och organisation</t>
  </si>
  <si>
    <t>SUMMA PROGRAMKOSTNADER</t>
  </si>
  <si>
    <t>Sekretariatet</t>
  </si>
  <si>
    <t>Tryckeri</t>
  </si>
  <si>
    <t>Avskrivningar</t>
  </si>
  <si>
    <t>SUMMA SEKTIONSKOSTNADER</t>
  </si>
  <si>
    <t>TOTALT</t>
  </si>
  <si>
    <t>SAMMANFATTNING</t>
  </si>
  <si>
    <t>Programkostnader</t>
  </si>
  <si>
    <t>Sekretariatskostnader</t>
  </si>
  <si>
    <t xml:space="preserve">INTÄKTER </t>
  </si>
  <si>
    <t>Bu-ack</t>
  </si>
  <si>
    <t>Testamenten</t>
  </si>
  <si>
    <t>Medl via autogiro</t>
  </si>
  <si>
    <t xml:space="preserve">Årsmötet </t>
  </si>
  <si>
    <t xml:space="preserve">Styrelsen </t>
  </si>
  <si>
    <t xml:space="preserve">Valberedningen </t>
  </si>
  <si>
    <t xml:space="preserve">Budgetmötet </t>
  </si>
  <si>
    <t xml:space="preserve">Resor o diverse </t>
  </si>
  <si>
    <t>Ungdomsarbete</t>
  </si>
  <si>
    <t xml:space="preserve">ICM/Internationella möten </t>
  </si>
  <si>
    <t>Utfall</t>
  </si>
  <si>
    <t>Rapporter o dyl</t>
  </si>
  <si>
    <t>Övrig försäljning</t>
  </si>
  <si>
    <t>Summa avgifter</t>
  </si>
  <si>
    <t>Summa försäljning</t>
  </si>
  <si>
    <t>Summa prenumerationer</t>
  </si>
  <si>
    <t>Grupper &amp; distrikt</t>
  </si>
  <si>
    <t>Företagsgåvor</t>
  </si>
  <si>
    <t>Gåvor från organisationer</t>
  </si>
  <si>
    <t>Gåvor via autogiro</t>
  </si>
  <si>
    <t>Amnestyfonden andel</t>
  </si>
  <si>
    <t>Summa gåvor och bidrag</t>
  </si>
  <si>
    <t>Summa övrigt</t>
  </si>
  <si>
    <t>Insamlingsbrev</t>
  </si>
  <si>
    <t>1. Kampanjer</t>
  </si>
  <si>
    <t>Kampanjer &amp; aktioner</t>
  </si>
  <si>
    <t>Blixtaktioner</t>
  </si>
  <si>
    <t>Flyktingarbete (inkl RGB)</t>
  </si>
  <si>
    <t>Tot. budg</t>
  </si>
  <si>
    <t>2. Information och kommunikation</t>
  </si>
  <si>
    <t>Lobbyverksamhet (inkl EU-för.)</t>
  </si>
  <si>
    <t>Mediaarbete</t>
  </si>
  <si>
    <t>MR-info</t>
  </si>
  <si>
    <t>3. Stöd till aktivism</t>
  </si>
  <si>
    <t>Specialgrupper</t>
  </si>
  <si>
    <t>Arbetsgrupper</t>
  </si>
  <si>
    <t>Distrikt</t>
  </si>
  <si>
    <t>Intersektionella möten</t>
  </si>
  <si>
    <t>Granskningskommittéen</t>
  </si>
  <si>
    <t>6. Gemensamma kostnader</t>
  </si>
  <si>
    <t>Verksamhetsutveckling</t>
  </si>
  <si>
    <t>IT</t>
  </si>
  <si>
    <t>Personal</t>
  </si>
  <si>
    <t>7. Internationella rörelsen</t>
  </si>
  <si>
    <t>Internationella sekretariatet</t>
  </si>
  <si>
    <t>SUMMA BIDRAG TILL INT. RÖRELSEN</t>
  </si>
  <si>
    <t>Bidrag till Internationella rörelsen</t>
  </si>
  <si>
    <t>Sekretariat (inkl avskr)</t>
  </si>
  <si>
    <t>Total</t>
  </si>
  <si>
    <t>budget</t>
  </si>
  <si>
    <t>av budget</t>
  </si>
  <si>
    <t xml:space="preserve">Amnestyfondens andel </t>
  </si>
  <si>
    <t>Övriga insamlingsaktiv.</t>
  </si>
  <si>
    <t>Avs./uppl. Humanfondsreserv</t>
  </si>
  <si>
    <t>Res. e Humanfondsreserv</t>
  </si>
  <si>
    <t>Jämförelse över åren av intäkter och kostnader aktuell månad.</t>
  </si>
  <si>
    <t>Rätt ska va rätt (Allmänna arvsfonden)</t>
  </si>
  <si>
    <t>ingen uppgift</t>
  </si>
  <si>
    <t>Budget 2006*</t>
  </si>
  <si>
    <t xml:space="preserve">*Inklusive samtliga disponibla delar </t>
  </si>
  <si>
    <t>Intäkter gällande 2006</t>
  </si>
  <si>
    <t xml:space="preserve">* Total budget= fast + disp dec &amp; juni </t>
  </si>
  <si>
    <t>Villkorade bidrag</t>
  </si>
  <si>
    <t>Angeläget (Allmänna arvsfonden)</t>
  </si>
  <si>
    <t>Ospec gåvor (privat)</t>
  </si>
  <si>
    <t>Ack. utfall 2007</t>
  </si>
  <si>
    <t>Budget 2007*</t>
  </si>
  <si>
    <t>Intäkter gällande 2007</t>
  </si>
  <si>
    <t xml:space="preserve">U07 i förh </t>
  </si>
  <si>
    <t>till U06</t>
  </si>
  <si>
    <t>Amnestyakademin</t>
  </si>
  <si>
    <t>2007*</t>
  </si>
  <si>
    <t>Sommarturné</t>
  </si>
  <si>
    <t>Distriktscenter Skåne/Blekinge</t>
  </si>
  <si>
    <t>Distriktscenter Göteborg</t>
  </si>
  <si>
    <t>Landprogram</t>
  </si>
  <si>
    <t>Övrig utbildning</t>
  </si>
  <si>
    <t>Mångfaldsarbete</t>
  </si>
  <si>
    <t>F2F</t>
  </si>
  <si>
    <t>TM</t>
  </si>
  <si>
    <t>Fundraising</t>
  </si>
  <si>
    <t>Medlems- och givardatabas</t>
  </si>
  <si>
    <t>MR-projekt i Turkiet</t>
  </si>
  <si>
    <t xml:space="preserve">Allmänna arvsfonden </t>
  </si>
  <si>
    <t>Utf. 2007 i %  av prognos</t>
  </si>
  <si>
    <t>Internationella rörelsen</t>
  </si>
  <si>
    <t>Ack utfall 2006</t>
  </si>
  <si>
    <t>5. Insamlingsarbete</t>
  </si>
  <si>
    <t>Förändr. 2007 i förh till 2006</t>
  </si>
  <si>
    <t>Intäktsrapport 2007, augusti (i tkr)</t>
  </si>
  <si>
    <t>jan-aug</t>
  </si>
  <si>
    <t>Sammanfattning resultatrapport 2007, augusti (i tkr)</t>
  </si>
  <si>
    <t>Uppföljning av programkostnader 2007, augusti (i tkr)</t>
  </si>
  <si>
    <t>Direkta samt fördelade programkostnader (i tkr), tertial 2 2007</t>
  </si>
  <si>
    <t>Bilaga 4</t>
  </si>
  <si>
    <t>Fördelning av lönekostnader (DL) och administrativa kostnader (Adm) på program</t>
  </si>
  <si>
    <t>Direkta</t>
  </si>
  <si>
    <t>Fördelade</t>
  </si>
  <si>
    <t>programkostnader</t>
  </si>
  <si>
    <t>kostnader</t>
  </si>
  <si>
    <t xml:space="preserve">kostnader </t>
  </si>
  <si>
    <t>Ack</t>
  </si>
  <si>
    <t>Ack utfall 07</t>
  </si>
  <si>
    <t>Ack utfall 06</t>
  </si>
  <si>
    <t>aug</t>
  </si>
  <si>
    <t>%</t>
  </si>
  <si>
    <t>DL</t>
  </si>
  <si>
    <t>Adm</t>
  </si>
  <si>
    <t>Sommarkampanj</t>
  </si>
  <si>
    <t>Marknadsföring &amp; infomaterial</t>
  </si>
  <si>
    <t>Rätt ska va rätt (Allm arvsf.)</t>
  </si>
  <si>
    <t>Angeläget (Allm arvsf.)</t>
  </si>
  <si>
    <t>Samordningsgrupper</t>
  </si>
  <si>
    <t>Utbildning</t>
  </si>
  <si>
    <t>Regional verksamhet</t>
  </si>
  <si>
    <t>F2f</t>
  </si>
  <si>
    <t>Medlemsvärvning &amp; avisering</t>
  </si>
  <si>
    <t>Insamling</t>
  </si>
  <si>
    <t>SUMMA SEKTIONSKOSTN.</t>
  </si>
  <si>
    <t xml:space="preserve">Internationella sekretariatet </t>
  </si>
  <si>
    <t>TOTALA KOSTNADER</t>
  </si>
  <si>
    <t xml:space="preserve"> (%)</t>
  </si>
  <si>
    <t>Direkta programkostnader</t>
  </si>
  <si>
    <t>Summa adm</t>
  </si>
  <si>
    <t>Direkta programlönekostnader</t>
  </si>
  <si>
    <t>Summa direkta programkostnader</t>
  </si>
  <si>
    <t xml:space="preserve">Administration </t>
  </si>
  <si>
    <t>Summa sektionskostnader</t>
  </si>
  <si>
    <t>Summa kostnader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</si>
</sst>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yy/m/d"/>
    <numFmt numFmtId="173" formatCode="d/mmm/yy"/>
    <numFmt numFmtId="174" formatCode="d/mmm"/>
    <numFmt numFmtId="175" formatCode="h\.mm\ AM/PM"/>
    <numFmt numFmtId="176" formatCode="h\.mm\.ss\ AM/PM"/>
    <numFmt numFmtId="177" formatCode="h\.mm"/>
    <numFmt numFmtId="178" formatCode="h\.mm\.ss"/>
    <numFmt numFmtId="179" formatCode="yy/m/d\ h\.mm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yyyy/mm/dd\ "/>
    <numFmt numFmtId="189" formatCode="0.0%"/>
    <numFmt numFmtId="190" formatCode="#,##0,"/>
    <numFmt numFmtId="191" formatCode="mmm/yyyy"/>
    <numFmt numFmtId="192" formatCode="mmmm\ yyyy"/>
    <numFmt numFmtId="193" formatCode="#,##0.0000"/>
    <numFmt numFmtId="194" formatCode="#,##0.000"/>
    <numFmt numFmtId="195" formatCode="00.0"/>
    <numFmt numFmtId="196" formatCode="_-* #,##0.0\ &quot;kr&quot;_-;\-* #,##0.0\ &quot;kr&quot;_-;_-* &quot;-&quot;??\ &quot;kr&quot;_-;_-@_-"/>
    <numFmt numFmtId="197" formatCode="_-* #,##0\ &quot;kr&quot;_-;\-* #,##0\ &quot;kr&quot;_-;_-* &quot;-&quot;??\ &quot;kr&quot;_-;_-@_-"/>
    <numFmt numFmtId="198" formatCode="_-* #,##0.0\ _k_r_-;\-* #,##0.0\ _k_r_-;_-* &quot;-&quot;??\ _k_r_-;_-@_-"/>
    <numFmt numFmtId="199" formatCode="_-* #,##0\ _k_r_-;\-* #,##0\ _k_r_-;_-* &quot;-&quot;??\ _k_r_-;_-@_-"/>
  </numFmts>
  <fonts count="39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4"/>
      <color indexed="8"/>
      <name val="Tms Rm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8"/>
      <name val="Tahoma"/>
      <family val="0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  <font>
      <b/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sz val="10"/>
      <name val="Verdana"/>
      <family val="2"/>
    </font>
    <font>
      <b/>
      <sz val="14"/>
      <name val="Verdana"/>
      <family val="2"/>
    </font>
    <font>
      <b/>
      <i/>
      <sz val="12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Times New Roman"/>
      <family val="0"/>
    </font>
    <font>
      <b/>
      <sz val="12"/>
      <name val="Verdana"/>
      <family val="2"/>
    </font>
    <font>
      <i/>
      <sz val="10"/>
      <name val="Verdana"/>
      <family val="2"/>
    </font>
    <font>
      <b/>
      <sz val="15"/>
      <name val="Verdana"/>
      <family val="2"/>
    </font>
    <font>
      <sz val="8"/>
      <name val="Verdana"/>
      <family val="2"/>
    </font>
    <font>
      <b/>
      <u val="single"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i/>
      <sz val="9"/>
      <color indexed="10"/>
      <name val="Verdana"/>
      <family val="2"/>
    </font>
    <font>
      <sz val="9"/>
      <name val="Times New Roman"/>
      <family val="0"/>
    </font>
    <font>
      <sz val="8"/>
      <color indexed="10"/>
      <name val="Verdana"/>
      <family val="2"/>
    </font>
    <font>
      <b/>
      <sz val="8"/>
      <color indexed="9"/>
      <name val="Verdana"/>
      <family val="2"/>
    </font>
    <font>
      <b/>
      <sz val="16"/>
      <name val="Verdana"/>
      <family val="2"/>
    </font>
    <font>
      <b/>
      <i/>
      <sz val="10"/>
      <name val="Verdana"/>
      <family val="2"/>
    </font>
    <font>
      <u val="single"/>
      <sz val="10"/>
      <name val="Verdana"/>
      <family val="2"/>
    </font>
    <font>
      <b/>
      <sz val="8"/>
      <name val="Tms Rmn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4" fontId="4" fillId="0" borderId="0" applyFont="0" applyFill="0" applyBorder="0" applyAlignment="0" applyProtection="0"/>
  </cellStyleXfs>
  <cellXfs count="563">
    <xf numFmtId="0" fontId="0" fillId="0" borderId="0" xfId="0" applyAlignment="1">
      <alignment/>
    </xf>
    <xf numFmtId="3" fontId="7" fillId="0" borderId="0" xfId="26" applyNumberFormat="1">
      <alignment/>
      <protection/>
    </xf>
    <xf numFmtId="189" fontId="7" fillId="0" borderId="0" xfId="26" applyNumberFormat="1">
      <alignment/>
      <protection/>
    </xf>
    <xf numFmtId="0" fontId="7" fillId="0" borderId="0" xfId="26">
      <alignment/>
      <protection/>
    </xf>
    <xf numFmtId="190" fontId="7" fillId="0" borderId="0" xfId="26" applyNumberFormat="1">
      <alignment/>
      <protection/>
    </xf>
    <xf numFmtId="190" fontId="7" fillId="0" borderId="0" xfId="26" applyNumberFormat="1" applyFill="1">
      <alignment/>
      <protection/>
    </xf>
    <xf numFmtId="179" fontId="14" fillId="0" borderId="0" xfId="25" applyNumberFormat="1" applyFont="1" applyAlignment="1">
      <alignment horizontal="left"/>
      <protection/>
    </xf>
    <xf numFmtId="190" fontId="14" fillId="0" borderId="0" xfId="23" applyNumberFormat="1" applyFont="1" applyBorder="1" applyAlignment="1">
      <alignment horizontal="right"/>
      <protection/>
    </xf>
    <xf numFmtId="190" fontId="14" fillId="2" borderId="0" xfId="23" applyNumberFormat="1" applyFont="1" applyFill="1" applyBorder="1">
      <alignment/>
      <protection/>
    </xf>
    <xf numFmtId="190" fontId="14" fillId="0" borderId="0" xfId="23" applyNumberFormat="1" applyFont="1" applyFill="1" applyBorder="1">
      <alignment/>
      <protection/>
    </xf>
    <xf numFmtId="190" fontId="14" fillId="2" borderId="0" xfId="26" applyNumberFormat="1" applyFont="1" applyFill="1">
      <alignment/>
      <protection/>
    </xf>
    <xf numFmtId="189" fontId="14" fillId="2" borderId="0" xfId="26" applyNumberFormat="1" applyFont="1" applyFill="1">
      <alignment/>
      <protection/>
    </xf>
    <xf numFmtId="0" fontId="15" fillId="0" borderId="0" xfId="23" applyFont="1" applyAlignment="1">
      <alignment horizontal="left"/>
      <protection/>
    </xf>
    <xf numFmtId="190" fontId="15" fillId="0" borderId="0" xfId="23" applyNumberFormat="1" applyFont="1" applyBorder="1" applyAlignment="1">
      <alignment horizontal="right"/>
      <protection/>
    </xf>
    <xf numFmtId="190" fontId="14" fillId="0" borderId="0" xfId="26" applyNumberFormat="1" applyFont="1">
      <alignment/>
      <protection/>
    </xf>
    <xf numFmtId="189" fontId="14" fillId="0" borderId="0" xfId="26" applyNumberFormat="1" applyFont="1">
      <alignment/>
      <protection/>
    </xf>
    <xf numFmtId="190" fontId="16" fillId="0" borderId="0" xfId="26" applyNumberFormat="1" applyFont="1">
      <alignment/>
      <protection/>
    </xf>
    <xf numFmtId="0" fontId="17" fillId="0" borderId="0" xfId="23" applyFont="1" applyAlignment="1">
      <alignment horizontal="left"/>
      <protection/>
    </xf>
    <xf numFmtId="190" fontId="18" fillId="0" borderId="0" xfId="23" applyNumberFormat="1" applyFont="1" applyFill="1" applyBorder="1" applyAlignment="1">
      <alignment horizontal="right"/>
      <protection/>
    </xf>
    <xf numFmtId="190" fontId="14" fillId="0" borderId="0" xfId="23" applyNumberFormat="1" applyFont="1" applyBorder="1">
      <alignment/>
      <protection/>
    </xf>
    <xf numFmtId="9" fontId="14" fillId="0" borderId="0" xfId="29" applyFont="1" applyBorder="1" applyAlignment="1">
      <alignment/>
    </xf>
    <xf numFmtId="0" fontId="14" fillId="0" borderId="0" xfId="26" applyFont="1">
      <alignment/>
      <protection/>
    </xf>
    <xf numFmtId="190" fontId="14" fillId="0" borderId="0" xfId="26" applyNumberFormat="1" applyFont="1" applyFill="1">
      <alignment/>
      <protection/>
    </xf>
    <xf numFmtId="189" fontId="19" fillId="0" borderId="1" xfId="26" applyNumberFormat="1" applyFont="1" applyBorder="1" applyAlignment="1">
      <alignment horizontal="center"/>
      <protection/>
    </xf>
    <xf numFmtId="1" fontId="19" fillId="0" borderId="1" xfId="26" applyNumberFormat="1" applyFont="1" applyBorder="1" applyAlignment="1">
      <alignment horizontal="center"/>
      <protection/>
    </xf>
    <xf numFmtId="1" fontId="19" fillId="0" borderId="1" xfId="26" applyNumberFormat="1" applyFont="1" applyFill="1" applyBorder="1" applyAlignment="1">
      <alignment horizontal="center"/>
      <protection/>
    </xf>
    <xf numFmtId="0" fontId="6" fillId="0" borderId="0" xfId="26" applyFont="1">
      <alignment/>
      <protection/>
    </xf>
    <xf numFmtId="0" fontId="7" fillId="0" borderId="0" xfId="26" applyBorder="1">
      <alignment/>
      <protection/>
    </xf>
    <xf numFmtId="9" fontId="18" fillId="0" borderId="0" xfId="29" applyFont="1" applyBorder="1" applyAlignment="1">
      <alignment/>
    </xf>
    <xf numFmtId="0" fontId="22" fillId="0" borderId="0" xfId="26" applyFont="1">
      <alignment/>
      <protection/>
    </xf>
    <xf numFmtId="0" fontId="14" fillId="0" borderId="0" xfId="28" applyFont="1">
      <alignment/>
      <protection/>
    </xf>
    <xf numFmtId="3" fontId="14" fillId="0" borderId="0" xfId="28" applyNumberFormat="1" applyFont="1">
      <alignment/>
      <protection/>
    </xf>
    <xf numFmtId="0" fontId="16" fillId="0" borderId="0" xfId="26" applyFont="1" applyAlignment="1">
      <alignment horizontal="centerContinuous"/>
      <protection/>
    </xf>
    <xf numFmtId="0" fontId="14" fillId="0" borderId="0" xfId="0" applyFont="1" applyAlignment="1">
      <alignment/>
    </xf>
    <xf numFmtId="0" fontId="15" fillId="0" borderId="0" xfId="28" applyFont="1">
      <alignment/>
      <protection/>
    </xf>
    <xf numFmtId="0" fontId="23" fillId="0" borderId="0" xfId="28" applyFont="1" applyAlignment="1">
      <alignment horizontal="right"/>
      <protection/>
    </xf>
    <xf numFmtId="3" fontId="14" fillId="0" borderId="0" xfId="0" applyNumberFormat="1" applyFont="1" applyAlignment="1">
      <alignment/>
    </xf>
    <xf numFmtId="9" fontId="14" fillId="0" borderId="0" xfId="29" applyFont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180" fontId="14" fillId="0" borderId="0" xfId="0" applyNumberFormat="1" applyFont="1" applyAlignment="1">
      <alignment horizontal="center"/>
    </xf>
    <xf numFmtId="9" fontId="2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79" fontId="14" fillId="0" borderId="0" xfId="0" applyNumberFormat="1" applyFont="1" applyAlignment="1">
      <alignment horizontal="left"/>
    </xf>
    <xf numFmtId="9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4" fillId="0" borderId="0" xfId="0" applyFont="1" applyAlignment="1">
      <alignment/>
    </xf>
    <xf numFmtId="3" fontId="24" fillId="0" borderId="0" xfId="15" applyNumberFormat="1" applyFont="1" applyAlignment="1">
      <alignment/>
    </xf>
    <xf numFmtId="3" fontId="14" fillId="0" borderId="0" xfId="0" applyNumberFormat="1" applyFont="1" applyAlignment="1">
      <alignment horizontal="center"/>
    </xf>
    <xf numFmtId="9" fontId="14" fillId="0" borderId="0" xfId="29" applyFont="1" applyAlignment="1">
      <alignment horizontal="center"/>
    </xf>
    <xf numFmtId="3" fontId="18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/>
    </xf>
    <xf numFmtId="9" fontId="14" fillId="0" borderId="0" xfId="0" applyNumberFormat="1" applyFont="1" applyAlignment="1">
      <alignment horizontal="center"/>
    </xf>
    <xf numFmtId="9" fontId="18" fillId="0" borderId="0" xfId="29" applyFont="1" applyBorder="1" applyAlignment="1">
      <alignment horizontal="right"/>
    </xf>
    <xf numFmtId="3" fontId="21" fillId="0" borderId="0" xfId="0" applyNumberFormat="1" applyFont="1" applyAlignment="1">
      <alignment/>
    </xf>
    <xf numFmtId="9" fontId="21" fillId="0" borderId="0" xfId="29" applyFont="1" applyAlignment="1">
      <alignment/>
    </xf>
    <xf numFmtId="0" fontId="21" fillId="0" borderId="0" xfId="0" applyFont="1" applyAlignment="1">
      <alignment/>
    </xf>
    <xf numFmtId="0" fontId="19" fillId="0" borderId="0" xfId="23" applyFont="1" applyAlignment="1">
      <alignment horizontal="left"/>
      <protection/>
    </xf>
    <xf numFmtId="0" fontId="15" fillId="0" borderId="0" xfId="0" applyFont="1" applyAlignment="1">
      <alignment/>
    </xf>
    <xf numFmtId="3" fontId="19" fillId="0" borderId="2" xfId="0" applyNumberFormat="1" applyFont="1" applyBorder="1" applyAlignment="1">
      <alignment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3" fontId="28" fillId="0" borderId="2" xfId="0" applyNumberFormat="1" applyFont="1" applyBorder="1" applyAlignment="1">
      <alignment/>
    </xf>
    <xf numFmtId="3" fontId="28" fillId="0" borderId="3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180" fontId="19" fillId="0" borderId="4" xfId="0" applyNumberFormat="1" applyFont="1" applyBorder="1" applyAlignment="1">
      <alignment horizontal="centerContinuous"/>
    </xf>
    <xf numFmtId="3" fontId="19" fillId="0" borderId="0" xfId="0" applyNumberFormat="1" applyFont="1" applyFill="1" applyAlignment="1">
      <alignment horizontal="centerContinuous"/>
    </xf>
    <xf numFmtId="9" fontId="29" fillId="0" borderId="0" xfId="0" applyNumberFormat="1" applyFont="1" applyBorder="1" applyAlignment="1">
      <alignment horizontal="centerContinuous"/>
    </xf>
    <xf numFmtId="0" fontId="28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2" borderId="0" xfId="0" applyFont="1" applyFill="1" applyAlignment="1">
      <alignment/>
    </xf>
    <xf numFmtId="3" fontId="2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9" fontId="28" fillId="0" borderId="0" xfId="0" applyNumberFormat="1" applyFont="1" applyAlignment="1">
      <alignment/>
    </xf>
    <xf numFmtId="0" fontId="28" fillId="0" borderId="0" xfId="0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9" fontId="29" fillId="0" borderId="0" xfId="0" applyNumberFormat="1" applyFont="1" applyBorder="1" applyAlignment="1">
      <alignment horizontal="center"/>
    </xf>
    <xf numFmtId="0" fontId="19" fillId="0" borderId="5" xfId="0" applyFont="1" applyBorder="1" applyAlignment="1">
      <alignment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8" fillId="0" borderId="0" xfId="0" applyNumberFormat="1" applyFont="1" applyAlignment="1">
      <alignment/>
    </xf>
    <xf numFmtId="9" fontId="28" fillId="0" borderId="0" xfId="0" applyNumberFormat="1" applyFont="1" applyBorder="1" applyAlignment="1">
      <alignment horizontal="center"/>
    </xf>
    <xf numFmtId="3" fontId="28" fillId="0" borderId="0" xfId="15" applyNumberFormat="1" applyFont="1" applyBorder="1" applyAlignment="1">
      <alignment/>
    </xf>
    <xf numFmtId="9" fontId="29" fillId="0" borderId="0" xfId="0" applyNumberFormat="1" applyFont="1" applyAlignment="1">
      <alignment horizontal="center"/>
    </xf>
    <xf numFmtId="0" fontId="32" fillId="0" borderId="0" xfId="26" applyFont="1">
      <alignment/>
      <protection/>
    </xf>
    <xf numFmtId="190" fontId="28" fillId="0" borderId="1" xfId="26" applyNumberFormat="1" applyFont="1" applyBorder="1">
      <alignment/>
      <protection/>
    </xf>
    <xf numFmtId="190" fontId="28" fillId="0" borderId="1" xfId="26" applyNumberFormat="1" applyFont="1" applyFill="1" applyBorder="1">
      <alignment/>
      <protection/>
    </xf>
    <xf numFmtId="189" fontId="28" fillId="0" borderId="1" xfId="26" applyNumberFormat="1" applyFont="1" applyBorder="1">
      <alignment/>
      <protection/>
    </xf>
    <xf numFmtId="3" fontId="28" fillId="0" borderId="1" xfId="30" applyNumberFormat="1" applyFont="1" applyFill="1" applyBorder="1" applyAlignment="1">
      <alignment horizontal="right"/>
    </xf>
    <xf numFmtId="3" fontId="19" fillId="0" borderId="8" xfId="30" applyNumberFormat="1" applyFont="1" applyFill="1" applyBorder="1" applyAlignment="1">
      <alignment/>
    </xf>
    <xf numFmtId="3" fontId="28" fillId="0" borderId="1" xfId="23" applyNumberFormat="1" applyFont="1" applyFill="1" applyBorder="1">
      <alignment/>
      <protection/>
    </xf>
    <xf numFmtId="3" fontId="28" fillId="0" borderId="1" xfId="30" applyNumberFormat="1" applyFont="1" applyFill="1" applyBorder="1" applyAlignment="1">
      <alignment/>
    </xf>
    <xf numFmtId="3" fontId="20" fillId="0" borderId="1" xfId="30" applyNumberFormat="1" applyFont="1" applyFill="1" applyBorder="1" applyAlignment="1">
      <alignment horizontal="right"/>
    </xf>
    <xf numFmtId="3" fontId="19" fillId="0" borderId="9" xfId="30" applyNumberFormat="1" applyFont="1" applyFill="1" applyBorder="1" applyAlignment="1">
      <alignment/>
    </xf>
    <xf numFmtId="3" fontId="19" fillId="0" borderId="2" xfId="30" applyNumberFormat="1" applyFont="1" applyFill="1" applyBorder="1" applyAlignment="1">
      <alignment/>
    </xf>
    <xf numFmtId="3" fontId="28" fillId="0" borderId="0" xfId="30" applyNumberFormat="1" applyFont="1" applyFill="1" applyBorder="1" applyAlignment="1">
      <alignment/>
    </xf>
    <xf numFmtId="3" fontId="19" fillId="0" borderId="8" xfId="23" applyNumberFormat="1" applyFont="1" applyFill="1" applyBorder="1">
      <alignment/>
      <protection/>
    </xf>
    <xf numFmtId="3" fontId="19" fillId="0" borderId="0" xfId="23" applyNumberFormat="1" applyFont="1" applyFill="1" applyBorder="1">
      <alignment/>
      <protection/>
    </xf>
    <xf numFmtId="3" fontId="28" fillId="0" borderId="0" xfId="23" applyNumberFormat="1" applyFont="1" applyFill="1" applyBorder="1">
      <alignment/>
      <protection/>
    </xf>
    <xf numFmtId="3" fontId="19" fillId="0" borderId="3" xfId="23" applyNumberFormat="1" applyFont="1" applyFill="1" applyBorder="1">
      <alignment/>
      <protection/>
    </xf>
    <xf numFmtId="190" fontId="28" fillId="0" borderId="0" xfId="26" applyNumberFormat="1" applyFont="1">
      <alignment/>
      <protection/>
    </xf>
    <xf numFmtId="3" fontId="28" fillId="0" borderId="0" xfId="26" applyNumberFormat="1" applyFont="1" applyFill="1">
      <alignment/>
      <protection/>
    </xf>
    <xf numFmtId="3" fontId="28" fillId="0" borderId="10" xfId="26" applyNumberFormat="1" applyFont="1" applyFill="1" applyBorder="1">
      <alignment/>
      <protection/>
    </xf>
    <xf numFmtId="3" fontId="28" fillId="0" borderId="1" xfId="26" applyNumberFormat="1" applyFont="1" applyFill="1" applyBorder="1">
      <alignment/>
      <protection/>
    </xf>
    <xf numFmtId="3" fontId="19" fillId="0" borderId="1" xfId="26" applyNumberFormat="1" applyFont="1" applyFill="1" applyBorder="1">
      <alignment/>
      <protection/>
    </xf>
    <xf numFmtId="3" fontId="19" fillId="0" borderId="8" xfId="26" applyNumberFormat="1" applyFont="1" applyFill="1" applyBorder="1">
      <alignment/>
      <protection/>
    </xf>
    <xf numFmtId="3" fontId="28" fillId="0" borderId="0" xfId="26" applyNumberFormat="1" applyFont="1" applyFill="1" applyBorder="1">
      <alignment/>
      <protection/>
    </xf>
    <xf numFmtId="190" fontId="28" fillId="0" borderId="0" xfId="26" applyNumberFormat="1" applyFont="1" applyFill="1" applyBorder="1">
      <alignment/>
      <protection/>
    </xf>
    <xf numFmtId="189" fontId="28" fillId="0" borderId="0" xfId="26" applyNumberFormat="1" applyFont="1">
      <alignment/>
      <protection/>
    </xf>
    <xf numFmtId="0" fontId="28" fillId="0" borderId="0" xfId="26" applyFont="1">
      <alignment/>
      <protection/>
    </xf>
    <xf numFmtId="190" fontId="28" fillId="0" borderId="0" xfId="26" applyNumberFormat="1" applyFont="1" applyFill="1">
      <alignment/>
      <protection/>
    </xf>
    <xf numFmtId="0" fontId="7" fillId="0" borderId="0" xfId="26" applyFill="1">
      <alignment/>
      <protection/>
    </xf>
    <xf numFmtId="3" fontId="28" fillId="3" borderId="1" xfId="30" applyNumberFormat="1" applyFont="1" applyFill="1" applyBorder="1" applyAlignment="1">
      <alignment horizontal="right"/>
    </xf>
    <xf numFmtId="0" fontId="28" fillId="0" borderId="0" xfId="23" applyFont="1" applyFill="1" applyBorder="1" applyAlignment="1">
      <alignment horizontal="left"/>
      <protection/>
    </xf>
    <xf numFmtId="9" fontId="28" fillId="0" borderId="1" xfId="29" applyFont="1" applyFill="1" applyBorder="1" applyAlignment="1">
      <alignment/>
    </xf>
    <xf numFmtId="9" fontId="28" fillId="0" borderId="0" xfId="29" applyFont="1" applyFill="1" applyBorder="1" applyAlignment="1">
      <alignment/>
    </xf>
    <xf numFmtId="3" fontId="28" fillId="0" borderId="2" xfId="30" applyNumberFormat="1" applyFont="1" applyFill="1" applyBorder="1" applyAlignment="1">
      <alignment horizontal="right"/>
    </xf>
    <xf numFmtId="9" fontId="30" fillId="4" borderId="11" xfId="0" applyNumberFormat="1" applyFont="1" applyFill="1" applyBorder="1" applyAlignment="1">
      <alignment horizontal="center"/>
    </xf>
    <xf numFmtId="9" fontId="30" fillId="4" borderId="12" xfId="0" applyNumberFormat="1" applyFont="1" applyFill="1" applyBorder="1" applyAlignment="1">
      <alignment horizontal="center"/>
    </xf>
    <xf numFmtId="3" fontId="30" fillId="3" borderId="13" xfId="0" applyNumberFormat="1" applyFont="1" applyFill="1" applyBorder="1" applyAlignment="1">
      <alignment horizontal="center"/>
    </xf>
    <xf numFmtId="1" fontId="30" fillId="3" borderId="3" xfId="0" applyNumberFormat="1" applyFont="1" applyFill="1" applyBorder="1" applyAlignment="1">
      <alignment horizontal="center"/>
    </xf>
    <xf numFmtId="190" fontId="28" fillId="0" borderId="1" xfId="23" applyNumberFormat="1" applyFont="1" applyFill="1" applyBorder="1" applyAlignment="1">
      <alignment horizontal="right"/>
      <protection/>
    </xf>
    <xf numFmtId="190" fontId="28" fillId="0" borderId="1" xfId="30" applyNumberFormat="1" applyFont="1" applyFill="1" applyBorder="1" applyAlignment="1">
      <alignment horizontal="right"/>
    </xf>
    <xf numFmtId="3" fontId="28" fillId="0" borderId="1" xfId="23" applyNumberFormat="1" applyFont="1" applyFill="1" applyBorder="1" applyAlignment="1">
      <alignment horizontal="right"/>
      <protection/>
    </xf>
    <xf numFmtId="3" fontId="19" fillId="0" borderId="12" xfId="30" applyNumberFormat="1" applyFont="1" applyFill="1" applyBorder="1" applyAlignment="1">
      <alignment horizontal="right"/>
    </xf>
    <xf numFmtId="190" fontId="28" fillId="0" borderId="0" xfId="30" applyNumberFormat="1" applyFont="1" applyFill="1" applyBorder="1" applyAlignment="1">
      <alignment horizontal="right"/>
    </xf>
    <xf numFmtId="190" fontId="28" fillId="0" borderId="0" xfId="23" applyNumberFormat="1" applyFont="1" applyFill="1" applyBorder="1" applyAlignment="1">
      <alignment horizontal="right"/>
      <protection/>
    </xf>
    <xf numFmtId="190" fontId="19" fillId="0" borderId="0" xfId="23" applyNumberFormat="1" applyFont="1" applyFill="1" applyBorder="1" applyAlignment="1">
      <alignment horizontal="right"/>
      <protection/>
    </xf>
    <xf numFmtId="3" fontId="7" fillId="0" borderId="0" xfId="26" applyNumberFormat="1" applyFill="1">
      <alignment/>
      <protection/>
    </xf>
    <xf numFmtId="0" fontId="28" fillId="3" borderId="0" xfId="23" applyFont="1" applyFill="1" applyBorder="1" applyAlignment="1">
      <alignment horizontal="left"/>
      <protection/>
    </xf>
    <xf numFmtId="9" fontId="28" fillId="3" borderId="1" xfId="29" applyFont="1" applyFill="1" applyBorder="1" applyAlignment="1">
      <alignment/>
    </xf>
    <xf numFmtId="3" fontId="28" fillId="3" borderId="1" xfId="30" applyNumberFormat="1" applyFont="1" applyFill="1" applyBorder="1" applyAlignment="1">
      <alignment/>
    </xf>
    <xf numFmtId="190" fontId="19" fillId="5" borderId="10" xfId="23" applyNumberFormat="1" applyFont="1" applyFill="1" applyBorder="1" applyAlignment="1">
      <alignment horizontal="center"/>
      <protection/>
    </xf>
    <xf numFmtId="190" fontId="19" fillId="5" borderId="10" xfId="23" applyNumberFormat="1" applyFont="1" applyFill="1" applyBorder="1" applyAlignment="1">
      <alignment horizontal="right"/>
      <protection/>
    </xf>
    <xf numFmtId="190" fontId="19" fillId="5" borderId="10" xfId="26" applyNumberFormat="1" applyFont="1" applyFill="1" applyBorder="1" applyAlignment="1">
      <alignment horizontal="center"/>
      <protection/>
    </xf>
    <xf numFmtId="189" fontId="19" fillId="5" borderId="10" xfId="26" applyNumberFormat="1" applyFont="1" applyFill="1" applyBorder="1" applyAlignment="1">
      <alignment horizontal="center"/>
      <protection/>
    </xf>
    <xf numFmtId="1" fontId="19" fillId="5" borderId="8" xfId="26" applyNumberFormat="1" applyFont="1" applyFill="1" applyBorder="1" applyAlignment="1">
      <alignment horizontal="center"/>
      <protection/>
    </xf>
    <xf numFmtId="189" fontId="19" fillId="5" borderId="8" xfId="26" applyNumberFormat="1" applyFont="1" applyFill="1" applyBorder="1" applyAlignment="1">
      <alignment horizontal="center"/>
      <protection/>
    </xf>
    <xf numFmtId="0" fontId="19" fillId="0" borderId="3" xfId="23" applyFont="1" applyFill="1" applyBorder="1" applyAlignment="1">
      <alignment horizontal="right"/>
      <protection/>
    </xf>
    <xf numFmtId="3" fontId="28" fillId="0" borderId="8" xfId="30" applyNumberFormat="1" applyFont="1" applyFill="1" applyBorder="1" applyAlignment="1">
      <alignment/>
    </xf>
    <xf numFmtId="0" fontId="28" fillId="0" borderId="0" xfId="23" applyFont="1" applyFill="1" applyAlignment="1">
      <alignment horizontal="left"/>
      <protection/>
    </xf>
    <xf numFmtId="190" fontId="28" fillId="0" borderId="1" xfId="23" applyNumberFormat="1" applyFont="1" applyFill="1" applyBorder="1">
      <alignment/>
      <protection/>
    </xf>
    <xf numFmtId="0" fontId="19" fillId="0" borderId="0" xfId="23" applyFont="1" applyFill="1">
      <alignment/>
      <protection/>
    </xf>
    <xf numFmtId="0" fontId="28" fillId="0" borderId="0" xfId="23" applyFont="1" applyFill="1">
      <alignment/>
      <protection/>
    </xf>
    <xf numFmtId="0" fontId="20" fillId="0" borderId="0" xfId="23" applyFont="1" applyFill="1" applyBorder="1" applyAlignment="1">
      <alignment horizontal="left"/>
      <protection/>
    </xf>
    <xf numFmtId="3" fontId="20" fillId="0" borderId="1" xfId="30" applyNumberFormat="1" applyFont="1" applyFill="1" applyBorder="1" applyAlignment="1">
      <alignment/>
    </xf>
    <xf numFmtId="0" fontId="19" fillId="0" borderId="0" xfId="23" applyFont="1" applyFill="1" applyBorder="1" applyAlignment="1">
      <alignment horizontal="right"/>
      <protection/>
    </xf>
    <xf numFmtId="3" fontId="28" fillId="0" borderId="2" xfId="30" applyNumberFormat="1" applyFont="1" applyFill="1" applyBorder="1" applyAlignment="1">
      <alignment/>
    </xf>
    <xf numFmtId="0" fontId="19" fillId="0" borderId="12" xfId="23" applyFont="1" applyFill="1" applyBorder="1" applyAlignment="1">
      <alignment horizontal="left"/>
      <protection/>
    </xf>
    <xf numFmtId="0" fontId="19" fillId="0" borderId="3" xfId="23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left"/>
      <protection/>
    </xf>
    <xf numFmtId="0" fontId="19" fillId="0" borderId="0" xfId="23" applyFont="1" applyFill="1" applyAlignment="1">
      <alignment horizontal="left"/>
      <protection/>
    </xf>
    <xf numFmtId="9" fontId="28" fillId="0" borderId="3" xfId="29" applyFont="1" applyFill="1" applyBorder="1" applyAlignment="1">
      <alignment/>
    </xf>
    <xf numFmtId="190" fontId="19" fillId="0" borderId="0" xfId="23" applyNumberFormat="1" applyFont="1" applyFill="1" applyBorder="1">
      <alignment/>
      <protection/>
    </xf>
    <xf numFmtId="0" fontId="19" fillId="0" borderId="6" xfId="23" applyFont="1" applyFill="1" applyBorder="1" applyAlignment="1">
      <alignment horizontal="left"/>
      <protection/>
    </xf>
    <xf numFmtId="189" fontId="28" fillId="0" borderId="0" xfId="26" applyNumberFormat="1" applyFont="1" applyFill="1">
      <alignment/>
      <protection/>
    </xf>
    <xf numFmtId="0" fontId="28" fillId="0" borderId="0" xfId="26" applyFont="1" applyFill="1">
      <alignment/>
      <protection/>
    </xf>
    <xf numFmtId="0" fontId="28" fillId="3" borderId="0" xfId="23" applyFont="1" applyFill="1">
      <alignment/>
      <protection/>
    </xf>
    <xf numFmtId="3" fontId="28" fillId="3" borderId="1" xfId="23" applyNumberFormat="1" applyFont="1" applyFill="1" applyBorder="1" applyAlignment="1">
      <alignment horizontal="right"/>
      <protection/>
    </xf>
    <xf numFmtId="3" fontId="28" fillId="3" borderId="1" xfId="23" applyNumberFormat="1" applyFont="1" applyFill="1" applyBorder="1">
      <alignment/>
      <protection/>
    </xf>
    <xf numFmtId="0" fontId="7" fillId="0" borderId="0" xfId="26" applyFill="1" applyBorder="1">
      <alignment/>
      <protection/>
    </xf>
    <xf numFmtId="3" fontId="19" fillId="5" borderId="14" xfId="0" applyNumberFormat="1" applyFont="1" applyFill="1" applyBorder="1" applyAlignment="1">
      <alignment horizontal="center"/>
    </xf>
    <xf numFmtId="3" fontId="19" fillId="5" borderId="9" xfId="0" applyNumberFormat="1" applyFont="1" applyFill="1" applyBorder="1" applyAlignment="1">
      <alignment horizontal="center"/>
    </xf>
    <xf numFmtId="3" fontId="28" fillId="5" borderId="2" xfId="0" applyNumberFormat="1" applyFont="1" applyFill="1" applyBorder="1" applyAlignment="1">
      <alignment/>
    </xf>
    <xf numFmtId="3" fontId="19" fillId="5" borderId="2" xfId="0" applyNumberFormat="1" applyFont="1" applyFill="1" applyBorder="1" applyAlignment="1">
      <alignment/>
    </xf>
    <xf numFmtId="3" fontId="19" fillId="5" borderId="2" xfId="25" applyNumberFormat="1" applyFont="1" applyFill="1" applyBorder="1" applyAlignment="1">
      <alignment horizontal="right"/>
      <protection/>
    </xf>
    <xf numFmtId="3" fontId="19" fillId="5" borderId="5" xfId="0" applyNumberFormat="1" applyFont="1" applyFill="1" applyBorder="1" applyAlignment="1">
      <alignment/>
    </xf>
    <xf numFmtId="3" fontId="28" fillId="0" borderId="2" xfId="25" applyNumberFormat="1" applyFont="1" applyFill="1" applyBorder="1" applyAlignment="1">
      <alignment horizontal="right"/>
      <protection/>
    </xf>
    <xf numFmtId="3" fontId="19" fillId="2" borderId="2" xfId="0" applyNumberFormat="1" applyFont="1" applyFill="1" applyBorder="1" applyAlignment="1">
      <alignment/>
    </xf>
    <xf numFmtId="0" fontId="28" fillId="0" borderId="2" xfId="0" applyFont="1" applyBorder="1" applyAlignment="1">
      <alignment/>
    </xf>
    <xf numFmtId="3" fontId="19" fillId="0" borderId="5" xfId="0" applyNumberFormat="1" applyFont="1" applyFill="1" applyBorder="1" applyAlignment="1">
      <alignment/>
    </xf>
    <xf numFmtId="180" fontId="28" fillId="0" borderId="1" xfId="0" applyNumberFormat="1" applyFont="1" applyFill="1" applyBorder="1" applyAlignment="1">
      <alignment horizontal="center"/>
    </xf>
    <xf numFmtId="9" fontId="28" fillId="0" borderId="1" xfId="29" applyFont="1" applyFill="1" applyBorder="1" applyAlignment="1">
      <alignment horizontal="center"/>
    </xf>
    <xf numFmtId="9" fontId="19" fillId="0" borderId="1" xfId="29" applyFont="1" applyFill="1" applyBorder="1" applyAlignment="1">
      <alignment horizontal="center"/>
    </xf>
    <xf numFmtId="9" fontId="19" fillId="0" borderId="15" xfId="29" applyFont="1" applyFill="1" applyBorder="1" applyAlignment="1">
      <alignment horizontal="center"/>
    </xf>
    <xf numFmtId="3" fontId="28" fillId="5" borderId="9" xfId="0" applyNumberFormat="1" applyFont="1" applyFill="1" applyBorder="1" applyAlignment="1">
      <alignment/>
    </xf>
    <xf numFmtId="3" fontId="28" fillId="0" borderId="9" xfId="25" applyNumberFormat="1" applyFont="1" applyFill="1" applyBorder="1" applyAlignment="1">
      <alignment horizontal="right"/>
      <protection/>
    </xf>
    <xf numFmtId="9" fontId="28" fillId="0" borderId="8" xfId="29" applyFont="1" applyFill="1" applyBorder="1" applyAlignment="1">
      <alignment horizontal="center"/>
    </xf>
    <xf numFmtId="3" fontId="20" fillId="5" borderId="9" xfId="0" applyNumberFormat="1" applyFont="1" applyFill="1" applyBorder="1" applyAlignment="1">
      <alignment/>
    </xf>
    <xf numFmtId="3" fontId="20" fillId="0" borderId="9" xfId="0" applyNumberFormat="1" applyFont="1" applyBorder="1" applyAlignment="1">
      <alignment/>
    </xf>
    <xf numFmtId="9" fontId="20" fillId="0" borderId="8" xfId="29" applyFont="1" applyFill="1" applyBorder="1" applyAlignment="1">
      <alignment horizontal="center"/>
    </xf>
    <xf numFmtId="0" fontId="28" fillId="0" borderId="9" xfId="0" applyFont="1" applyBorder="1" applyAlignment="1">
      <alignment/>
    </xf>
    <xf numFmtId="0" fontId="6" fillId="0" borderId="0" xfId="26" applyFont="1" applyFill="1">
      <alignment/>
      <protection/>
    </xf>
    <xf numFmtId="190" fontId="6" fillId="0" borderId="0" xfId="26" applyNumberFormat="1" applyFont="1" applyFill="1">
      <alignment/>
      <protection/>
    </xf>
    <xf numFmtId="3" fontId="19" fillId="0" borderId="2" xfId="25" applyNumberFormat="1" applyFont="1" applyFill="1" applyBorder="1" applyAlignment="1">
      <alignment horizontal="right"/>
      <protection/>
    </xf>
    <xf numFmtId="9" fontId="7" fillId="0" borderId="0" xfId="29" applyAlignment="1">
      <alignment/>
    </xf>
    <xf numFmtId="3" fontId="28" fillId="0" borderId="0" xfId="15" applyNumberFormat="1" applyFont="1" applyFill="1" applyBorder="1" applyAlignment="1">
      <alignment horizontal="right"/>
    </xf>
    <xf numFmtId="3" fontId="28" fillId="0" borderId="4" xfId="0" applyNumberFormat="1" applyFont="1" applyFill="1" applyBorder="1" applyAlignment="1" quotePrefix="1">
      <alignment horizontal="center"/>
    </xf>
    <xf numFmtId="3" fontId="28" fillId="0" borderId="0" xfId="0" applyNumberFormat="1" applyFont="1" applyFill="1" applyBorder="1" applyAlignment="1">
      <alignment horizontal="right"/>
    </xf>
    <xf numFmtId="180" fontId="28" fillId="0" borderId="4" xfId="0" applyNumberFormat="1" applyFont="1" applyFill="1" applyBorder="1" applyAlignment="1">
      <alignment horizontal="center"/>
    </xf>
    <xf numFmtId="3" fontId="28" fillId="0" borderId="4" xfId="15" applyNumberFormat="1" applyFont="1" applyFill="1" applyBorder="1" applyAlignment="1">
      <alignment horizontal="center"/>
    </xf>
    <xf numFmtId="3" fontId="28" fillId="0" borderId="4" xfId="15" applyNumberFormat="1" applyFont="1" applyFill="1" applyBorder="1" applyAlignment="1">
      <alignment horizontal="right"/>
    </xf>
    <xf numFmtId="15" fontId="28" fillId="0" borderId="2" xfId="0" applyNumberFormat="1" applyFont="1" applyFill="1" applyBorder="1" applyAlignment="1">
      <alignment horizontal="left"/>
    </xf>
    <xf numFmtId="3" fontId="28" fillId="0" borderId="11" xfId="0" applyNumberFormat="1" applyFont="1" applyFill="1" applyBorder="1" applyAlignment="1" quotePrefix="1">
      <alignment horizontal="center"/>
    </xf>
    <xf numFmtId="3" fontId="14" fillId="0" borderId="0" xfId="29" applyNumberFormat="1" applyFont="1" applyAlignment="1">
      <alignment horizontal="center"/>
    </xf>
    <xf numFmtId="173" fontId="28" fillId="0" borderId="2" xfId="0" applyNumberFormat="1" applyFont="1" applyBorder="1" applyAlignment="1">
      <alignment horizontal="left"/>
    </xf>
    <xf numFmtId="3" fontId="28" fillId="0" borderId="4" xfId="0" applyNumberFormat="1" applyFont="1" applyBorder="1" applyAlignment="1">
      <alignment horizontal="center"/>
    </xf>
    <xf numFmtId="9" fontId="24" fillId="0" borderId="0" xfId="0" applyNumberFormat="1" applyFont="1" applyBorder="1" applyAlignment="1">
      <alignment horizontal="center"/>
    </xf>
    <xf numFmtId="3" fontId="14" fillId="0" borderId="0" xfId="29" applyNumberFormat="1" applyFont="1" applyBorder="1" applyAlignment="1">
      <alignment horizontal="center"/>
    </xf>
    <xf numFmtId="2" fontId="19" fillId="0" borderId="0" xfId="23" applyNumberFormat="1" applyFont="1" applyFill="1" applyBorder="1" applyAlignment="1">
      <alignment horizontal="right"/>
      <protection/>
    </xf>
    <xf numFmtId="180" fontId="19" fillId="5" borderId="10" xfId="0" applyNumberFormat="1" applyFont="1" applyFill="1" applyBorder="1" applyAlignment="1">
      <alignment horizontal="center"/>
    </xf>
    <xf numFmtId="1" fontId="19" fillId="5" borderId="9" xfId="0" applyNumberFormat="1" applyFont="1" applyFill="1" applyBorder="1" applyAlignment="1">
      <alignment horizontal="center"/>
    </xf>
    <xf numFmtId="180" fontId="19" fillId="5" borderId="8" xfId="0" applyNumberFormat="1" applyFont="1" applyFill="1" applyBorder="1" applyAlignment="1">
      <alignment horizontal="center"/>
    </xf>
    <xf numFmtId="3" fontId="28" fillId="0" borderId="11" xfId="15" applyNumberFormat="1" applyFont="1" applyFill="1" applyBorder="1" applyAlignment="1">
      <alignment horizontal="right"/>
    </xf>
    <xf numFmtId="3" fontId="28" fillId="0" borderId="4" xfId="0" applyNumberFormat="1" applyFont="1" applyFill="1" applyBorder="1" applyAlignment="1">
      <alignment horizontal="right"/>
    </xf>
    <xf numFmtId="3" fontId="28" fillId="0" borderId="4" xfId="0" applyNumberFormat="1" applyFont="1" applyBorder="1" applyAlignment="1">
      <alignment/>
    </xf>
    <xf numFmtId="9" fontId="28" fillId="0" borderId="8" xfId="29" applyFont="1" applyFill="1" applyBorder="1" applyAlignment="1">
      <alignment/>
    </xf>
    <xf numFmtId="3" fontId="28" fillId="0" borderId="4" xfId="30" applyNumberFormat="1" applyFont="1" applyFill="1" applyBorder="1" applyAlignment="1">
      <alignment/>
    </xf>
    <xf numFmtId="3" fontId="19" fillId="0" borderId="12" xfId="30" applyNumberFormat="1" applyFont="1" applyFill="1" applyBorder="1" applyAlignment="1">
      <alignment/>
    </xf>
    <xf numFmtId="3" fontId="19" fillId="0" borderId="15" xfId="23" applyNumberFormat="1" applyFont="1" applyFill="1" applyBorder="1">
      <alignment/>
      <protection/>
    </xf>
    <xf numFmtId="3" fontId="28" fillId="0" borderId="3" xfId="26" applyNumberFormat="1" applyFont="1" applyFill="1" applyBorder="1">
      <alignment/>
      <protection/>
    </xf>
    <xf numFmtId="9" fontId="19" fillId="0" borderId="8" xfId="29" applyFont="1" applyFill="1" applyBorder="1" applyAlignment="1">
      <alignment/>
    </xf>
    <xf numFmtId="9" fontId="19" fillId="0" borderId="15" xfId="29" applyFont="1" applyFill="1" applyBorder="1" applyAlignment="1">
      <alignment/>
    </xf>
    <xf numFmtId="3" fontId="28" fillId="0" borderId="4" xfId="15" applyNumberFormat="1" applyFont="1" applyBorder="1" applyAlignment="1">
      <alignment horizontal="center"/>
    </xf>
    <xf numFmtId="15" fontId="28" fillId="0" borderId="14" xfId="0" applyNumberFormat="1" applyFont="1" applyFill="1" applyBorder="1" applyAlignment="1">
      <alignment horizontal="left"/>
    </xf>
    <xf numFmtId="3" fontId="28" fillId="0" borderId="13" xfId="15" applyNumberFormat="1" applyFont="1" applyFill="1" applyBorder="1" applyAlignment="1">
      <alignment horizontal="right"/>
    </xf>
    <xf numFmtId="0" fontId="28" fillId="0" borderId="4" xfId="0" applyFont="1" applyFill="1" applyBorder="1" applyAlignment="1">
      <alignment horizontal="center"/>
    </xf>
    <xf numFmtId="0" fontId="26" fillId="0" borderId="0" xfId="28" applyFont="1">
      <alignment/>
      <protection/>
    </xf>
    <xf numFmtId="0" fontId="17" fillId="0" borderId="0" xfId="28" applyFont="1">
      <alignment/>
      <protection/>
    </xf>
    <xf numFmtId="3" fontId="33" fillId="0" borderId="0" xfId="28" applyNumberFormat="1" applyFont="1">
      <alignment/>
      <protection/>
    </xf>
    <xf numFmtId="0" fontId="26" fillId="0" borderId="0" xfId="0" applyFont="1" applyAlignment="1">
      <alignment/>
    </xf>
    <xf numFmtId="3" fontId="26" fillId="0" borderId="0" xfId="28" applyNumberFormat="1" applyFont="1">
      <alignment/>
      <protection/>
    </xf>
    <xf numFmtId="0" fontId="26" fillId="0" borderId="15" xfId="28" applyFont="1" applyBorder="1">
      <alignment/>
      <protection/>
    </xf>
    <xf numFmtId="0" fontId="17" fillId="5" borderId="7" xfId="28" applyFont="1" applyFill="1" applyBorder="1" applyAlignment="1">
      <alignment horizontal="center" wrapText="1"/>
      <protection/>
    </xf>
    <xf numFmtId="3" fontId="17" fillId="3" borderId="7" xfId="28" applyNumberFormat="1" applyFont="1" applyFill="1" applyBorder="1" applyAlignment="1">
      <alignment horizontal="center" wrapText="1"/>
      <protection/>
    </xf>
    <xf numFmtId="0" fontId="17" fillId="3" borderId="7" xfId="28" applyFont="1" applyFill="1" applyBorder="1" applyAlignment="1">
      <alignment horizontal="center" wrapText="1"/>
      <protection/>
    </xf>
    <xf numFmtId="0" fontId="26" fillId="0" borderId="1" xfId="28" applyFont="1" applyBorder="1">
      <alignment/>
      <protection/>
    </xf>
    <xf numFmtId="0" fontId="17" fillId="5" borderId="4" xfId="28" applyFont="1" applyFill="1" applyBorder="1" applyAlignment="1">
      <alignment horizontal="right" wrapText="1"/>
      <protection/>
    </xf>
    <xf numFmtId="0" fontId="17" fillId="0" borderId="4" xfId="28" applyFont="1" applyBorder="1" applyAlignment="1">
      <alignment horizontal="right" wrapText="1"/>
      <protection/>
    </xf>
    <xf numFmtId="0" fontId="17" fillId="1" borderId="4" xfId="28" applyFont="1" applyFill="1" applyBorder="1" applyAlignment="1">
      <alignment horizontal="right" wrapText="1"/>
      <protection/>
    </xf>
    <xf numFmtId="3" fontId="17" fillId="0" borderId="4" xfId="28" applyNumberFormat="1" applyFont="1" applyBorder="1" applyAlignment="1">
      <alignment horizontal="right" wrapText="1"/>
      <protection/>
    </xf>
    <xf numFmtId="0" fontId="17" fillId="0" borderId="1" xfId="28" applyFont="1" applyBorder="1">
      <alignment/>
      <protection/>
    </xf>
    <xf numFmtId="3" fontId="26" fillId="5" borderId="4" xfId="28" applyNumberFormat="1" applyFont="1" applyFill="1" applyBorder="1" applyAlignment="1">
      <alignment horizontal="right"/>
      <protection/>
    </xf>
    <xf numFmtId="3" fontId="26" fillId="0" borderId="4" xfId="28" applyNumberFormat="1" applyFont="1" applyBorder="1" applyAlignment="1">
      <alignment horizontal="right"/>
      <protection/>
    </xf>
    <xf numFmtId="9" fontId="26" fillId="1" borderId="4" xfId="29" applyFont="1" applyFill="1" applyBorder="1" applyAlignment="1">
      <alignment horizontal="right" wrapText="1"/>
    </xf>
    <xf numFmtId="0" fontId="26" fillId="0" borderId="4" xfId="28" applyFont="1" applyBorder="1">
      <alignment/>
      <protection/>
    </xf>
    <xf numFmtId="3" fontId="26" fillId="0" borderId="4" xfId="28" applyNumberFormat="1" applyFont="1" applyBorder="1">
      <alignment/>
      <protection/>
    </xf>
    <xf numFmtId="187" fontId="26" fillId="1" borderId="4" xfId="28" applyNumberFormat="1" applyFont="1" applyFill="1" applyBorder="1">
      <alignment/>
      <protection/>
    </xf>
    <xf numFmtId="0" fontId="17" fillId="0" borderId="15" xfId="28" applyFont="1" applyBorder="1">
      <alignment/>
      <protection/>
    </xf>
    <xf numFmtId="3" fontId="17" fillId="5" borderId="7" xfId="28" applyNumberFormat="1" applyFont="1" applyFill="1" applyBorder="1" applyAlignment="1">
      <alignment horizontal="right"/>
      <protection/>
    </xf>
    <xf numFmtId="3" fontId="17" fillId="0" borderId="7" xfId="28" applyNumberFormat="1" applyFont="1" applyBorder="1" applyAlignment="1">
      <alignment horizontal="right"/>
      <protection/>
    </xf>
    <xf numFmtId="9" fontId="26" fillId="1" borderId="15" xfId="29" applyFont="1" applyFill="1" applyBorder="1" applyAlignment="1">
      <alignment horizontal="right" wrapText="1"/>
    </xf>
    <xf numFmtId="189" fontId="17" fillId="1" borderId="7" xfId="28" applyNumberFormat="1" applyFont="1" applyFill="1" applyBorder="1" applyAlignment="1">
      <alignment horizontal="right"/>
      <protection/>
    </xf>
    <xf numFmtId="3" fontId="17" fillId="5" borderId="4" xfId="28" applyNumberFormat="1" applyFont="1" applyFill="1" applyBorder="1" applyAlignment="1">
      <alignment horizontal="right"/>
      <protection/>
    </xf>
    <xf numFmtId="3" fontId="17" fillId="0" borderId="4" xfId="28" applyNumberFormat="1" applyFont="1" applyBorder="1" applyAlignment="1">
      <alignment horizontal="right"/>
      <protection/>
    </xf>
    <xf numFmtId="3" fontId="17" fillId="0" borderId="0" xfId="28" applyNumberFormat="1" applyFont="1" applyBorder="1" applyAlignment="1">
      <alignment horizontal="right"/>
      <protection/>
    </xf>
    <xf numFmtId="9" fontId="26" fillId="1" borderId="10" xfId="29" applyFont="1" applyFill="1" applyBorder="1" applyAlignment="1">
      <alignment horizontal="right" wrapText="1"/>
    </xf>
    <xf numFmtId="187" fontId="17" fillId="0" borderId="4" xfId="28" applyNumberFormat="1" applyFont="1" applyBorder="1" applyAlignment="1">
      <alignment horizontal="right"/>
      <protection/>
    </xf>
    <xf numFmtId="187" fontId="17" fillId="1" borderId="4" xfId="28" applyNumberFormat="1" applyFont="1" applyFill="1" applyBorder="1" applyAlignment="1">
      <alignment horizontal="right"/>
      <protection/>
    </xf>
    <xf numFmtId="0" fontId="26" fillId="5" borderId="4" xfId="28" applyFont="1" applyFill="1" applyBorder="1">
      <alignment/>
      <protection/>
    </xf>
    <xf numFmtId="0" fontId="26" fillId="0" borderId="0" xfId="28" applyFont="1" applyBorder="1">
      <alignment/>
      <protection/>
    </xf>
    <xf numFmtId="9" fontId="26" fillId="1" borderId="1" xfId="29" applyFont="1" applyFill="1" applyBorder="1" applyAlignment="1">
      <alignment horizontal="right" wrapText="1"/>
    </xf>
    <xf numFmtId="0" fontId="26" fillId="1" borderId="4" xfId="28" applyFont="1" applyFill="1" applyBorder="1">
      <alignment/>
      <protection/>
    </xf>
    <xf numFmtId="3" fontId="26" fillId="0" borderId="0" xfId="28" applyNumberFormat="1" applyFont="1" applyBorder="1" applyAlignment="1">
      <alignment horizontal="right"/>
      <protection/>
    </xf>
    <xf numFmtId="3" fontId="17" fillId="0" borderId="4" xfId="28" applyNumberFormat="1" applyFont="1" applyBorder="1">
      <alignment/>
      <protection/>
    </xf>
    <xf numFmtId="3" fontId="17" fillId="5" borderId="7" xfId="28" applyNumberFormat="1" applyFont="1" applyFill="1" applyBorder="1">
      <alignment/>
      <protection/>
    </xf>
    <xf numFmtId="3" fontId="17" fillId="0" borderId="7" xfId="28" applyNumberFormat="1" applyFont="1" applyBorder="1">
      <alignment/>
      <protection/>
    </xf>
    <xf numFmtId="3" fontId="17" fillId="0" borderId="0" xfId="28" applyNumberFormat="1" applyFont="1" applyFill="1" applyBorder="1">
      <alignment/>
      <protection/>
    </xf>
    <xf numFmtId="3" fontId="17" fillId="0" borderId="0" xfId="28" applyNumberFormat="1" applyFont="1" applyBorder="1">
      <alignment/>
      <protection/>
    </xf>
    <xf numFmtId="9" fontId="26" fillId="0" borderId="0" xfId="29" applyFont="1" applyFill="1" applyBorder="1" applyAlignment="1">
      <alignment horizontal="right" wrapText="1"/>
    </xf>
    <xf numFmtId="3" fontId="34" fillId="2" borderId="0" xfId="28" applyNumberFormat="1" applyFont="1" applyFill="1" applyBorder="1">
      <alignment/>
      <protection/>
    </xf>
    <xf numFmtId="189" fontId="17" fillId="0" borderId="0" xfId="28" applyNumberFormat="1" applyFont="1" applyFill="1" applyBorder="1" applyAlignment="1">
      <alignment horizontal="right"/>
      <protection/>
    </xf>
    <xf numFmtId="9" fontId="26" fillId="0" borderId="15" xfId="29" applyFont="1" applyFill="1" applyBorder="1" applyAlignment="1">
      <alignment horizontal="right" wrapText="1"/>
    </xf>
    <xf numFmtId="0" fontId="26" fillId="0" borderId="15" xfId="0" applyFont="1" applyBorder="1" applyAlignment="1">
      <alignment/>
    </xf>
    <xf numFmtId="3" fontId="26" fillId="5" borderId="15" xfId="28" applyNumberFormat="1" applyFont="1" applyFill="1" applyBorder="1">
      <alignment/>
      <protection/>
    </xf>
    <xf numFmtId="3" fontId="26" fillId="0" borderId="15" xfId="28" applyNumberFormat="1" applyFont="1" applyBorder="1">
      <alignment/>
      <protection/>
    </xf>
    <xf numFmtId="3" fontId="17" fillId="5" borderId="8" xfId="28" applyNumberFormat="1" applyFont="1" applyFill="1" applyBorder="1">
      <alignment/>
      <protection/>
    </xf>
    <xf numFmtId="3" fontId="17" fillId="0" borderId="8" xfId="28" applyNumberFormat="1" applyFont="1" applyBorder="1">
      <alignment/>
      <protection/>
    </xf>
    <xf numFmtId="3" fontId="26" fillId="0" borderId="0" xfId="0" applyNumberFormat="1" applyFont="1" applyAlignment="1">
      <alignment/>
    </xf>
    <xf numFmtId="3" fontId="23" fillId="0" borderId="14" xfId="0" applyNumberFormat="1" applyFont="1" applyBorder="1" applyAlignment="1">
      <alignment/>
    </xf>
    <xf numFmtId="0" fontId="14" fillId="0" borderId="13" xfId="0" applyFont="1" applyBorder="1" applyAlignment="1">
      <alignment/>
    </xf>
    <xf numFmtId="3" fontId="14" fillId="0" borderId="13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28" fillId="0" borderId="4" xfId="0" applyFont="1" applyBorder="1" applyAlignment="1">
      <alignment/>
    </xf>
    <xf numFmtId="0" fontId="19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28" fillId="0" borderId="2" xfId="0" applyFont="1" applyBorder="1" applyAlignment="1">
      <alignment horizontal="center"/>
    </xf>
    <xf numFmtId="3" fontId="28" fillId="0" borderId="0" xfId="0" applyNumberFormat="1" applyFont="1" applyBorder="1" applyAlignment="1">
      <alignment horizontal="right"/>
    </xf>
    <xf numFmtId="3" fontId="28" fillId="0" borderId="4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left"/>
    </xf>
    <xf numFmtId="0" fontId="28" fillId="0" borderId="9" xfId="0" applyFont="1" applyBorder="1" applyAlignment="1">
      <alignment horizontal="center"/>
    </xf>
    <xf numFmtId="0" fontId="28" fillId="0" borderId="3" xfId="0" applyFont="1" applyBorder="1" applyAlignment="1">
      <alignment/>
    </xf>
    <xf numFmtId="0" fontId="28" fillId="0" borderId="12" xfId="0" applyFont="1" applyBorder="1" applyAlignment="1">
      <alignment/>
    </xf>
    <xf numFmtId="0" fontId="14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19" fillId="3" borderId="14" xfId="0" applyNumberFormat="1" applyFont="1" applyFill="1" applyBorder="1" applyAlignment="1">
      <alignment horizontal="center"/>
    </xf>
    <xf numFmtId="3" fontId="19" fillId="3" borderId="9" xfId="0" applyNumberFormat="1" applyFont="1" applyFill="1" applyBorder="1" applyAlignment="1">
      <alignment horizontal="center"/>
    </xf>
    <xf numFmtId="3" fontId="28" fillId="0" borderId="2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9" fontId="29" fillId="0" borderId="4" xfId="0" applyNumberFormat="1" applyFont="1" applyFill="1" applyBorder="1" applyAlignment="1">
      <alignment horizontal="center"/>
    </xf>
    <xf numFmtId="3" fontId="29" fillId="0" borderId="0" xfId="0" applyNumberFormat="1" applyFont="1" applyFill="1" applyAlignment="1">
      <alignment/>
    </xf>
    <xf numFmtId="9" fontId="29" fillId="0" borderId="4" xfId="29" applyNumberFormat="1" applyFont="1" applyFill="1" applyBorder="1" applyAlignment="1">
      <alignment horizontal="center"/>
    </xf>
    <xf numFmtId="3" fontId="28" fillId="0" borderId="9" xfId="0" applyNumberFormat="1" applyFont="1" applyFill="1" applyBorder="1" applyAlignment="1">
      <alignment/>
    </xf>
    <xf numFmtId="3" fontId="29" fillId="0" borderId="3" xfId="0" applyNumberFormat="1" applyFont="1" applyFill="1" applyBorder="1" applyAlignment="1">
      <alignment/>
    </xf>
    <xf numFmtId="9" fontId="29" fillId="0" borderId="12" xfId="29" applyNumberFormat="1" applyFont="1" applyFill="1" applyBorder="1" applyAlignment="1">
      <alignment horizontal="center"/>
    </xf>
    <xf numFmtId="3" fontId="19" fillId="0" borderId="2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9" fontId="30" fillId="0" borderId="4" xfId="29" applyNumberFormat="1" applyFont="1" applyFill="1" applyBorder="1" applyAlignment="1">
      <alignment horizontal="center"/>
    </xf>
    <xf numFmtId="3" fontId="29" fillId="0" borderId="0" xfId="15" applyNumberFormat="1" applyFont="1" applyFill="1" applyAlignment="1">
      <alignment/>
    </xf>
    <xf numFmtId="3" fontId="30" fillId="0" borderId="0" xfId="15" applyNumberFormat="1" applyFont="1" applyFill="1" applyAlignment="1">
      <alignment/>
    </xf>
    <xf numFmtId="3" fontId="20" fillId="0" borderId="9" xfId="0" applyNumberFormat="1" applyFont="1" applyFill="1" applyBorder="1" applyAlignment="1">
      <alignment/>
    </xf>
    <xf numFmtId="3" fontId="31" fillId="0" borderId="3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 horizontal="right"/>
    </xf>
    <xf numFmtId="3" fontId="30" fillId="0" borderId="6" xfId="15" applyNumberFormat="1" applyFont="1" applyFill="1" applyBorder="1" applyAlignment="1">
      <alignment/>
    </xf>
    <xf numFmtId="9" fontId="30" fillId="0" borderId="7" xfId="29" applyNumberFormat="1" applyFont="1" applyFill="1" applyBorder="1" applyAlignment="1">
      <alignment horizontal="center"/>
    </xf>
    <xf numFmtId="180" fontId="30" fillId="4" borderId="12" xfId="0" applyNumberFormat="1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9" fontId="30" fillId="4" borderId="4" xfId="29" applyFont="1" applyFill="1" applyBorder="1" applyAlignment="1">
      <alignment horizontal="center"/>
    </xf>
    <xf numFmtId="9" fontId="30" fillId="4" borderId="15" xfId="29" applyFont="1" applyFill="1" applyBorder="1" applyAlignment="1">
      <alignment horizontal="center"/>
    </xf>
    <xf numFmtId="9" fontId="29" fillId="4" borderId="4" xfId="29" applyFont="1" applyFill="1" applyBorder="1" applyAlignment="1">
      <alignment horizontal="center"/>
    </xf>
    <xf numFmtId="9" fontId="29" fillId="4" borderId="8" xfId="29" applyFont="1" applyFill="1" applyBorder="1" applyAlignment="1">
      <alignment horizontal="center"/>
    </xf>
    <xf numFmtId="15" fontId="28" fillId="3" borderId="2" xfId="0" applyNumberFormat="1" applyFont="1" applyFill="1" applyBorder="1" applyAlignment="1">
      <alignment horizontal="left"/>
    </xf>
    <xf numFmtId="3" fontId="28" fillId="3" borderId="0" xfId="0" applyNumberFormat="1" applyFont="1" applyFill="1" applyBorder="1" applyAlignment="1">
      <alignment horizontal="right"/>
    </xf>
    <xf numFmtId="3" fontId="28" fillId="3" borderId="4" xfId="0" applyNumberFormat="1" applyFont="1" applyFill="1" applyBorder="1" applyAlignment="1">
      <alignment horizontal="right"/>
    </xf>
    <xf numFmtId="180" fontId="28" fillId="3" borderId="4" xfId="0" applyNumberFormat="1" applyFont="1" applyFill="1" applyBorder="1" applyAlignment="1">
      <alignment horizontal="center"/>
    </xf>
    <xf numFmtId="49" fontId="17" fillId="5" borderId="8" xfId="26" applyNumberFormat="1" applyFont="1" applyFill="1" applyBorder="1" applyAlignment="1">
      <alignment horizontal="center"/>
      <protection/>
    </xf>
    <xf numFmtId="3" fontId="27" fillId="0" borderId="0" xfId="29" applyNumberFormat="1" applyFont="1" applyBorder="1" applyAlignment="1">
      <alignment horizontal="right"/>
    </xf>
    <xf numFmtId="3" fontId="18" fillId="0" borderId="0" xfId="29" applyNumberFormat="1" applyFont="1" applyBorder="1" applyAlignment="1">
      <alignment horizontal="right"/>
    </xf>
    <xf numFmtId="3" fontId="14" fillId="0" borderId="0" xfId="29" applyNumberFormat="1" applyFont="1" applyBorder="1" applyAlignment="1">
      <alignment horizontal="right"/>
    </xf>
    <xf numFmtId="9" fontId="7" fillId="0" borderId="0" xfId="29" applyFill="1" applyAlignment="1">
      <alignment/>
    </xf>
    <xf numFmtId="180" fontId="28" fillId="0" borderId="4" xfId="0" applyNumberFormat="1" applyFont="1" applyBorder="1" applyAlignment="1">
      <alignment horizontal="center"/>
    </xf>
    <xf numFmtId="3" fontId="28" fillId="0" borderId="4" xfId="0" applyNumberFormat="1" applyFont="1" applyFill="1" applyBorder="1" applyAlignment="1">
      <alignment/>
    </xf>
    <xf numFmtId="3" fontId="28" fillId="3" borderId="2" xfId="30" applyNumberFormat="1" applyFont="1" applyFill="1" applyBorder="1" applyAlignment="1">
      <alignment horizontal="right"/>
    </xf>
    <xf numFmtId="9" fontId="7" fillId="0" borderId="0" xfId="29" applyFill="1" applyBorder="1" applyAlignment="1">
      <alignment/>
    </xf>
    <xf numFmtId="3" fontId="14" fillId="5" borderId="9" xfId="0" applyNumberFormat="1" applyFont="1" applyFill="1" applyBorder="1" applyAlignment="1">
      <alignment/>
    </xf>
    <xf numFmtId="3" fontId="28" fillId="0" borderId="0" xfId="15" applyNumberFormat="1" applyFont="1" applyBorder="1" applyAlignment="1">
      <alignment horizontal="right"/>
    </xf>
    <xf numFmtId="173" fontId="28" fillId="0" borderId="2" xfId="0" applyNumberFormat="1" applyFont="1" applyFill="1" applyBorder="1" applyAlignment="1">
      <alignment horizontal="left"/>
    </xf>
    <xf numFmtId="3" fontId="14" fillId="0" borderId="4" xfId="0" applyNumberFormat="1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173" fontId="28" fillId="0" borderId="0" xfId="0" applyNumberFormat="1" applyFont="1" applyFill="1" applyBorder="1" applyAlignment="1">
      <alignment horizontal="left"/>
    </xf>
    <xf numFmtId="173" fontId="28" fillId="3" borderId="9" xfId="0" applyNumberFormat="1" applyFont="1" applyFill="1" applyBorder="1" applyAlignment="1">
      <alignment horizontal="left"/>
    </xf>
    <xf numFmtId="3" fontId="14" fillId="0" borderId="4" xfId="0" applyNumberFormat="1" applyFont="1" applyFill="1" applyBorder="1" applyAlignment="1">
      <alignment/>
    </xf>
    <xf numFmtId="3" fontId="14" fillId="0" borderId="4" xfId="0" applyNumberFormat="1" applyFont="1" applyFill="1" applyBorder="1" applyAlignment="1">
      <alignment horizontal="center"/>
    </xf>
    <xf numFmtId="0" fontId="28" fillId="0" borderId="4" xfId="0" applyFont="1" applyFill="1" applyBorder="1" applyAlignment="1">
      <alignment/>
    </xf>
    <xf numFmtId="180" fontId="30" fillId="4" borderId="10" xfId="0" applyNumberFormat="1" applyFont="1" applyFill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5" fillId="0" borderId="0" xfId="23" applyFont="1" applyFill="1" applyAlignment="1">
      <alignment horizontal="left"/>
      <protection/>
    </xf>
    <xf numFmtId="190" fontId="15" fillId="0" borderId="0" xfId="23" applyNumberFormat="1" applyFont="1" applyFill="1" applyBorder="1" applyAlignment="1">
      <alignment horizontal="right"/>
      <protection/>
    </xf>
    <xf numFmtId="189" fontId="14" fillId="0" borderId="0" xfId="26" applyNumberFormat="1" applyFont="1" applyFill="1">
      <alignment/>
      <protection/>
    </xf>
    <xf numFmtId="3" fontId="28" fillId="3" borderId="0" xfId="0" applyNumberFormat="1" applyFont="1" applyFill="1" applyBorder="1" applyAlignment="1">
      <alignment/>
    </xf>
    <xf numFmtId="3" fontId="28" fillId="3" borderId="4" xfId="0" applyNumberFormat="1" applyFont="1" applyFill="1" applyBorder="1" applyAlignment="1">
      <alignment/>
    </xf>
    <xf numFmtId="0" fontId="28" fillId="3" borderId="4" xfId="0" applyFont="1" applyFill="1" applyBorder="1" applyAlignment="1">
      <alignment horizontal="center"/>
    </xf>
    <xf numFmtId="173" fontId="28" fillId="3" borderId="2" xfId="0" applyNumberFormat="1" applyFont="1" applyFill="1" applyBorder="1" applyAlignment="1">
      <alignment horizontal="left"/>
    </xf>
    <xf numFmtId="3" fontId="28" fillId="0" borderId="1" xfId="0" applyNumberFormat="1" applyFont="1" applyFill="1" applyBorder="1" applyAlignment="1">
      <alignment/>
    </xf>
    <xf numFmtId="3" fontId="14" fillId="0" borderId="0" xfId="29" applyNumberFormat="1" applyFont="1" applyAlignment="1">
      <alignment horizontal="right"/>
    </xf>
    <xf numFmtId="3" fontId="14" fillId="0" borderId="0" xfId="29" applyNumberFormat="1" applyFont="1" applyFill="1" applyAlignment="1">
      <alignment horizontal="right"/>
    </xf>
    <xf numFmtId="3" fontId="14" fillId="3" borderId="4" xfId="0" applyNumberFormat="1" applyFont="1" applyFill="1" applyBorder="1" applyAlignment="1">
      <alignment horizontal="center"/>
    </xf>
    <xf numFmtId="0" fontId="35" fillId="0" borderId="0" xfId="23" applyFont="1" applyAlignment="1">
      <alignment horizontal="left"/>
      <protection/>
    </xf>
    <xf numFmtId="0" fontId="15" fillId="0" borderId="0" xfId="23" applyFont="1">
      <alignment/>
      <protection/>
    </xf>
    <xf numFmtId="0" fontId="14" fillId="0" borderId="0" xfId="23" applyFont="1" applyFill="1" applyBorder="1">
      <alignment/>
      <protection/>
    </xf>
    <xf numFmtId="9" fontId="14" fillId="0" borderId="0" xfId="23" applyNumberFormat="1" applyFont="1" applyAlignment="1">
      <alignment horizontal="right"/>
      <protection/>
    </xf>
    <xf numFmtId="0" fontId="14" fillId="0" borderId="0" xfId="23" applyFont="1" applyAlignment="1">
      <alignment horizontal="right"/>
      <protection/>
    </xf>
    <xf numFmtId="0" fontId="14" fillId="0" borderId="0" xfId="23" applyFont="1">
      <alignment/>
      <protection/>
    </xf>
    <xf numFmtId="0" fontId="16" fillId="0" borderId="0" xfId="23" applyFont="1" applyAlignment="1">
      <alignment horizontal="left"/>
      <protection/>
    </xf>
    <xf numFmtId="4" fontId="14" fillId="0" borderId="0" xfId="23" applyNumberFormat="1" applyFont="1">
      <alignment/>
      <protection/>
    </xf>
    <xf numFmtId="0" fontId="18" fillId="0" borderId="0" xfId="23" applyFont="1" applyAlignment="1">
      <alignment horizontal="left"/>
      <protection/>
    </xf>
    <xf numFmtId="3" fontId="18" fillId="0" borderId="0" xfId="30" applyNumberFormat="1" applyFont="1" applyAlignment="1">
      <alignment horizontal="right"/>
    </xf>
    <xf numFmtId="0" fontId="14" fillId="0" borderId="0" xfId="23" applyFont="1" applyFill="1">
      <alignment/>
      <protection/>
    </xf>
    <xf numFmtId="9" fontId="14" fillId="0" borderId="0" xfId="23" applyNumberFormat="1" applyFont="1">
      <alignment/>
      <protection/>
    </xf>
    <xf numFmtId="0" fontId="23" fillId="0" borderId="0" xfId="23" applyFont="1" applyAlignment="1">
      <alignment horizontal="left"/>
      <protection/>
    </xf>
    <xf numFmtId="3" fontId="18" fillId="0" borderId="14" xfId="30" applyNumberFormat="1" applyFont="1" applyBorder="1" applyAlignment="1">
      <alignment horizontal="centerContinuous"/>
    </xf>
    <xf numFmtId="0" fontId="14" fillId="0" borderId="13" xfId="23" applyFont="1" applyFill="1" applyBorder="1" applyAlignment="1">
      <alignment horizontal="centerContinuous"/>
      <protection/>
    </xf>
    <xf numFmtId="9" fontId="14" fillId="0" borderId="11" xfId="23" applyNumberFormat="1" applyFont="1" applyBorder="1" applyAlignment="1">
      <alignment horizontal="centerContinuous"/>
      <protection/>
    </xf>
    <xf numFmtId="3" fontId="18" fillId="5" borderId="14" xfId="30" applyNumberFormat="1" applyFont="1" applyFill="1" applyBorder="1" applyAlignment="1">
      <alignment horizontal="centerContinuous"/>
    </xf>
    <xf numFmtId="0" fontId="14" fillId="5" borderId="11" xfId="23" applyFont="1" applyFill="1" applyBorder="1" applyAlignment="1">
      <alignment horizontal="centerContinuous"/>
      <protection/>
    </xf>
    <xf numFmtId="0" fontId="14" fillId="0" borderId="11" xfId="23" applyFont="1" applyBorder="1" applyAlignment="1">
      <alignment horizontal="centerContinuous"/>
      <protection/>
    </xf>
    <xf numFmtId="3" fontId="18" fillId="5" borderId="10" xfId="30" applyNumberFormat="1" applyFont="1" applyFill="1" applyBorder="1" applyAlignment="1">
      <alignment horizontal="center"/>
    </xf>
    <xf numFmtId="3" fontId="18" fillId="0" borderId="10" xfId="30" applyNumberFormat="1" applyFont="1" applyBorder="1" applyAlignment="1">
      <alignment horizontal="center"/>
    </xf>
    <xf numFmtId="9" fontId="14" fillId="0" borderId="10" xfId="23" applyNumberFormat="1" applyFont="1" applyBorder="1">
      <alignment/>
      <protection/>
    </xf>
    <xf numFmtId="0" fontId="14" fillId="0" borderId="0" xfId="23" applyFont="1" applyBorder="1">
      <alignment/>
      <protection/>
    </xf>
    <xf numFmtId="0" fontId="18" fillId="0" borderId="2" xfId="23" applyFont="1" applyFill="1" applyBorder="1" applyAlignment="1">
      <alignment horizontal="centerContinuous"/>
      <protection/>
    </xf>
    <xf numFmtId="0" fontId="14" fillId="0" borderId="0" xfId="23" applyFont="1" applyBorder="1" applyAlignment="1">
      <alignment horizontal="centerContinuous"/>
      <protection/>
    </xf>
    <xf numFmtId="9" fontId="14" fillId="0" borderId="4" xfId="23" applyNumberFormat="1" applyFont="1" applyBorder="1" applyAlignment="1">
      <alignment horizontal="centerContinuous"/>
      <protection/>
    </xf>
    <xf numFmtId="0" fontId="18" fillId="5" borderId="2" xfId="23" applyFont="1" applyFill="1" applyBorder="1" applyAlignment="1">
      <alignment horizontal="centerContinuous"/>
      <protection/>
    </xf>
    <xf numFmtId="0" fontId="14" fillId="5" borderId="4" xfId="23" applyFont="1" applyFill="1" applyBorder="1" applyAlignment="1">
      <alignment horizontal="centerContinuous"/>
      <protection/>
    </xf>
    <xf numFmtId="0" fontId="14" fillId="0" borderId="4" xfId="23" applyFont="1" applyBorder="1" applyAlignment="1">
      <alignment horizontal="centerContinuous"/>
      <protection/>
    </xf>
    <xf numFmtId="3" fontId="18" fillId="5" borderId="4" xfId="30" applyNumberFormat="1" applyFont="1" applyFill="1" applyBorder="1" applyAlignment="1">
      <alignment horizontal="center"/>
    </xf>
    <xf numFmtId="3" fontId="18" fillId="0" borderId="1" xfId="30" applyNumberFormat="1" applyFont="1" applyBorder="1" applyAlignment="1">
      <alignment horizontal="center"/>
    </xf>
    <xf numFmtId="9" fontId="14" fillId="0" borderId="1" xfId="23" applyNumberFormat="1" applyFont="1" applyBorder="1">
      <alignment/>
      <protection/>
    </xf>
    <xf numFmtId="0" fontId="14" fillId="0" borderId="0" xfId="23" applyFont="1" applyBorder="1" applyAlignment="1">
      <alignment horizontal="center"/>
      <protection/>
    </xf>
    <xf numFmtId="4" fontId="14" fillId="0" borderId="0" xfId="23" applyNumberFormat="1" applyFont="1" applyAlignment="1">
      <alignment horizontal="center"/>
      <protection/>
    </xf>
    <xf numFmtId="0" fontId="14" fillId="0" borderId="0" xfId="23" applyFont="1" applyAlignment="1">
      <alignment horizontal="left"/>
      <protection/>
    </xf>
    <xf numFmtId="0" fontId="18" fillId="0" borderId="2" xfId="23" applyFont="1" applyBorder="1" applyAlignment="1">
      <alignment horizontal="center"/>
      <protection/>
    </xf>
    <xf numFmtId="0" fontId="18" fillId="0" borderId="0" xfId="23" applyFont="1" applyFill="1" applyBorder="1" applyAlignment="1">
      <alignment horizontal="center"/>
      <protection/>
    </xf>
    <xf numFmtId="9" fontId="14" fillId="0" borderId="4" xfId="23" applyNumberFormat="1" applyFont="1" applyBorder="1" applyAlignment="1">
      <alignment horizontal="right"/>
      <protection/>
    </xf>
    <xf numFmtId="0" fontId="18" fillId="0" borderId="2" xfId="23" applyFont="1" applyBorder="1" applyAlignment="1">
      <alignment horizontal="centerContinuous"/>
      <protection/>
    </xf>
    <xf numFmtId="4" fontId="14" fillId="0" borderId="0" xfId="23" applyNumberFormat="1" applyFont="1" applyAlignment="1">
      <alignment horizontal="centerContinuous"/>
      <protection/>
    </xf>
    <xf numFmtId="0" fontId="18" fillId="5" borderId="9" xfId="23" applyFont="1" applyFill="1" applyBorder="1" applyAlignment="1">
      <alignment horizontal="center"/>
      <protection/>
    </xf>
    <xf numFmtId="0" fontId="18" fillId="0" borderId="3" xfId="23" applyFont="1" applyBorder="1" applyAlignment="1">
      <alignment horizontal="center"/>
      <protection/>
    </xf>
    <xf numFmtId="9" fontId="36" fillId="0" borderId="12" xfId="23" applyNumberFormat="1" applyFont="1" applyBorder="1" applyAlignment="1">
      <alignment horizontal="center"/>
      <protection/>
    </xf>
    <xf numFmtId="0" fontId="18" fillId="5" borderId="12" xfId="23" applyFont="1" applyFill="1" applyBorder="1" applyAlignment="1">
      <alignment horizontal="center"/>
      <protection/>
    </xf>
    <xf numFmtId="0" fontId="18" fillId="0" borderId="9" xfId="23" applyFont="1" applyBorder="1" applyAlignment="1">
      <alignment horizontal="center"/>
      <protection/>
    </xf>
    <xf numFmtId="0" fontId="18" fillId="0" borderId="12" xfId="23" applyFont="1" applyBorder="1" applyAlignment="1">
      <alignment horizontal="center"/>
      <protection/>
    </xf>
    <xf numFmtId="0" fontId="18" fillId="5" borderId="8" xfId="23" applyFont="1" applyFill="1" applyBorder="1" applyAlignment="1">
      <alignment horizontal="center"/>
      <protection/>
    </xf>
    <xf numFmtId="0" fontId="18" fillId="0" borderId="8" xfId="23" applyFont="1" applyBorder="1" applyAlignment="1">
      <alignment horizontal="center"/>
      <protection/>
    </xf>
    <xf numFmtId="9" fontId="18" fillId="0" borderId="8" xfId="23" applyNumberFormat="1" applyFont="1" applyBorder="1" applyAlignment="1">
      <alignment horizontal="right"/>
      <protection/>
    </xf>
    <xf numFmtId="4" fontId="14" fillId="0" borderId="0" xfId="23" applyNumberFormat="1" applyFont="1" applyAlignment="1">
      <alignment horizontal="right"/>
      <protection/>
    </xf>
    <xf numFmtId="0" fontId="18" fillId="0" borderId="0" xfId="23" applyFont="1" applyBorder="1" applyAlignment="1" quotePrefix="1">
      <alignment horizontal="right"/>
      <protection/>
    </xf>
    <xf numFmtId="190" fontId="28" fillId="5" borderId="10" xfId="26" applyNumberFormat="1" applyFont="1" applyFill="1" applyBorder="1">
      <alignment/>
      <protection/>
    </xf>
    <xf numFmtId="0" fontId="14" fillId="0" borderId="10" xfId="23" applyFont="1" applyBorder="1">
      <alignment/>
      <protection/>
    </xf>
    <xf numFmtId="9" fontId="24" fillId="0" borderId="11" xfId="23" applyNumberFormat="1" applyFont="1" applyBorder="1">
      <alignment/>
      <protection/>
    </xf>
    <xf numFmtId="0" fontId="14" fillId="5" borderId="0" xfId="23" applyFont="1" applyFill="1">
      <alignment/>
      <protection/>
    </xf>
    <xf numFmtId="0" fontId="14" fillId="5" borderId="4" xfId="23" applyFont="1" applyFill="1" applyBorder="1">
      <alignment/>
      <protection/>
    </xf>
    <xf numFmtId="0" fontId="14" fillId="0" borderId="11" xfId="23" applyFont="1" applyBorder="1">
      <alignment/>
      <protection/>
    </xf>
    <xf numFmtId="0" fontId="14" fillId="0" borderId="4" xfId="23" applyFont="1" applyBorder="1">
      <alignment/>
      <protection/>
    </xf>
    <xf numFmtId="9" fontId="14" fillId="0" borderId="4" xfId="23" applyNumberFormat="1" applyFont="1" applyBorder="1">
      <alignment/>
      <protection/>
    </xf>
    <xf numFmtId="3" fontId="28" fillId="5" borderId="2" xfId="30" applyNumberFormat="1" applyFont="1" applyFill="1" applyBorder="1" applyAlignment="1">
      <alignment horizontal="right"/>
    </xf>
    <xf numFmtId="9" fontId="24" fillId="3" borderId="4" xfId="29" applyNumberFormat="1" applyFont="1" applyFill="1" applyBorder="1" applyAlignment="1">
      <alignment horizontal="right"/>
    </xf>
    <xf numFmtId="3" fontId="14" fillId="5" borderId="0" xfId="23" applyNumberFormat="1" applyFont="1" applyFill="1">
      <alignment/>
      <protection/>
    </xf>
    <xf numFmtId="3" fontId="14" fillId="5" borderId="4" xfId="23" applyNumberFormat="1" applyFont="1" applyFill="1" applyBorder="1">
      <alignment/>
      <protection/>
    </xf>
    <xf numFmtId="3" fontId="14" fillId="3" borderId="0" xfId="23" applyNumberFormat="1" applyFont="1" applyFill="1">
      <alignment/>
      <protection/>
    </xf>
    <xf numFmtId="3" fontId="14" fillId="3" borderId="4" xfId="23" applyNumberFormat="1" applyFont="1" applyFill="1" applyBorder="1">
      <alignment/>
      <protection/>
    </xf>
    <xf numFmtId="9" fontId="14" fillId="3" borderId="4" xfId="23" applyNumberFormat="1" applyFont="1" applyFill="1" applyBorder="1">
      <alignment/>
      <protection/>
    </xf>
    <xf numFmtId="3" fontId="14" fillId="0" borderId="0" xfId="23" applyNumberFormat="1" applyFont="1" applyBorder="1">
      <alignment/>
      <protection/>
    </xf>
    <xf numFmtId="9" fontId="24" fillId="0" borderId="4" xfId="29" applyNumberFormat="1" applyFont="1" applyFill="1" applyBorder="1" applyAlignment="1">
      <alignment horizontal="right"/>
    </xf>
    <xf numFmtId="3" fontId="14" fillId="0" borderId="0" xfId="23" applyNumberFormat="1" applyFont="1" applyFill="1">
      <alignment/>
      <protection/>
    </xf>
    <xf numFmtId="3" fontId="14" fillId="0" borderId="4" xfId="23" applyNumberFormat="1" applyFont="1" applyFill="1" applyBorder="1">
      <alignment/>
      <protection/>
    </xf>
    <xf numFmtId="9" fontId="14" fillId="0" borderId="4" xfId="23" applyNumberFormat="1" applyFont="1" applyFill="1" applyBorder="1">
      <alignment/>
      <protection/>
    </xf>
    <xf numFmtId="3" fontId="14" fillId="5" borderId="0" xfId="23" applyNumberFormat="1" applyFont="1" applyFill="1" applyBorder="1">
      <alignment/>
      <protection/>
    </xf>
    <xf numFmtId="3" fontId="14" fillId="0" borderId="0" xfId="23" applyNumberFormat="1" applyFont="1" applyFill="1" applyBorder="1">
      <alignment/>
      <protection/>
    </xf>
    <xf numFmtId="0" fontId="18" fillId="0" borderId="3" xfId="23" applyFont="1" applyBorder="1" applyAlignment="1">
      <alignment horizontal="right"/>
      <protection/>
    </xf>
    <xf numFmtId="3" fontId="18" fillId="5" borderId="9" xfId="30" applyNumberFormat="1" applyFont="1" applyFill="1" applyBorder="1" applyAlignment="1">
      <alignment/>
    </xf>
    <xf numFmtId="3" fontId="18" fillId="0" borderId="8" xfId="30" applyNumberFormat="1" applyFont="1" applyBorder="1" applyAlignment="1">
      <alignment/>
    </xf>
    <xf numFmtId="9" fontId="36" fillId="0" borderId="12" xfId="29" applyNumberFormat="1" applyFont="1" applyBorder="1" applyAlignment="1">
      <alignment/>
    </xf>
    <xf numFmtId="3" fontId="18" fillId="5" borderId="12" xfId="30" applyNumberFormat="1" applyFont="1" applyFill="1" applyBorder="1" applyAlignment="1">
      <alignment/>
    </xf>
    <xf numFmtId="3" fontId="18" fillId="0" borderId="3" xfId="30" applyNumberFormat="1" applyFont="1" applyBorder="1" applyAlignment="1">
      <alignment/>
    </xf>
    <xf numFmtId="3" fontId="18" fillId="0" borderId="12" xfId="30" applyNumberFormat="1" applyFont="1" applyBorder="1" applyAlignment="1">
      <alignment/>
    </xf>
    <xf numFmtId="9" fontId="18" fillId="0" borderId="12" xfId="29" applyNumberFormat="1" applyFont="1" applyBorder="1" applyAlignment="1">
      <alignment/>
    </xf>
    <xf numFmtId="4" fontId="18" fillId="0" borderId="0" xfId="23" applyNumberFormat="1" applyFont="1">
      <alignment/>
      <protection/>
    </xf>
    <xf numFmtId="3" fontId="18" fillId="0" borderId="0" xfId="23" applyNumberFormat="1" applyFont="1" applyBorder="1">
      <alignment/>
      <protection/>
    </xf>
    <xf numFmtId="0" fontId="14" fillId="5" borderId="2" xfId="23" applyFont="1" applyFill="1" applyBorder="1">
      <alignment/>
      <protection/>
    </xf>
    <xf numFmtId="0" fontId="14" fillId="0" borderId="1" xfId="23" applyFont="1" applyBorder="1">
      <alignment/>
      <protection/>
    </xf>
    <xf numFmtId="9" fontId="24" fillId="0" borderId="4" xfId="23" applyNumberFormat="1" applyFont="1" applyBorder="1" applyAlignment="1">
      <alignment horizontal="right"/>
      <protection/>
    </xf>
    <xf numFmtId="3" fontId="14" fillId="0" borderId="14" xfId="23" applyNumberFormat="1" applyFont="1" applyBorder="1">
      <alignment/>
      <protection/>
    </xf>
    <xf numFmtId="3" fontId="14" fillId="0" borderId="11" xfId="23" applyNumberFormat="1" applyFont="1" applyBorder="1">
      <alignment/>
      <protection/>
    </xf>
    <xf numFmtId="0" fontId="14" fillId="5" borderId="10" xfId="23" applyFont="1" applyFill="1" applyBorder="1">
      <alignment/>
      <protection/>
    </xf>
    <xf numFmtId="3" fontId="14" fillId="0" borderId="0" xfId="23" applyNumberFormat="1" applyFont="1">
      <alignment/>
      <protection/>
    </xf>
    <xf numFmtId="190" fontId="28" fillId="5" borderId="2" xfId="23" applyNumberFormat="1" applyFont="1" applyFill="1" applyBorder="1" applyAlignment="1">
      <alignment horizontal="right"/>
      <protection/>
    </xf>
    <xf numFmtId="3" fontId="14" fillId="0" borderId="2" xfId="23" applyNumberFormat="1" applyFont="1" applyBorder="1">
      <alignment/>
      <protection/>
    </xf>
    <xf numFmtId="3" fontId="14" fillId="0" borderId="4" xfId="23" applyNumberFormat="1" applyFont="1" applyBorder="1">
      <alignment/>
      <protection/>
    </xf>
    <xf numFmtId="0" fontId="14" fillId="5" borderId="1" xfId="23" applyFont="1" applyFill="1" applyBorder="1">
      <alignment/>
      <protection/>
    </xf>
    <xf numFmtId="3" fontId="14" fillId="3" borderId="2" xfId="23" applyNumberFormat="1" applyFont="1" applyFill="1" applyBorder="1">
      <alignment/>
      <protection/>
    </xf>
    <xf numFmtId="3" fontId="14" fillId="5" borderId="1" xfId="23" applyNumberFormat="1" applyFont="1" applyFill="1" applyBorder="1">
      <alignment/>
      <protection/>
    </xf>
    <xf numFmtId="3" fontId="14" fillId="3" borderId="1" xfId="23" applyNumberFormat="1" applyFont="1" applyFill="1" applyBorder="1">
      <alignment/>
      <protection/>
    </xf>
    <xf numFmtId="3" fontId="14" fillId="0" borderId="1" xfId="23" applyNumberFormat="1" applyFont="1" applyFill="1" applyBorder="1">
      <alignment/>
      <protection/>
    </xf>
    <xf numFmtId="9" fontId="24" fillId="0" borderId="4" xfId="29" applyNumberFormat="1" applyFont="1" applyBorder="1" applyAlignment="1">
      <alignment horizontal="right"/>
    </xf>
    <xf numFmtId="3" fontId="14" fillId="0" borderId="2" xfId="23" applyNumberFormat="1" applyFont="1" applyFill="1" applyBorder="1">
      <alignment/>
      <protection/>
    </xf>
    <xf numFmtId="3" fontId="18" fillId="5" borderId="3" xfId="30" applyNumberFormat="1" applyFont="1" applyFill="1" applyBorder="1" applyAlignment="1">
      <alignment/>
    </xf>
    <xf numFmtId="3" fontId="18" fillId="0" borderId="9" xfId="30" applyNumberFormat="1" applyFont="1" applyBorder="1" applyAlignment="1">
      <alignment/>
    </xf>
    <xf numFmtId="3" fontId="18" fillId="5" borderId="8" xfId="30" applyNumberFormat="1" applyFont="1" applyFill="1" applyBorder="1" applyAlignment="1">
      <alignment/>
    </xf>
    <xf numFmtId="9" fontId="18" fillId="0" borderId="8" xfId="29" applyNumberFormat="1" applyFont="1" applyBorder="1" applyAlignment="1">
      <alignment/>
    </xf>
    <xf numFmtId="3" fontId="28" fillId="5" borderId="2" xfId="23" applyNumberFormat="1" applyFont="1" applyFill="1" applyBorder="1" applyAlignment="1">
      <alignment horizontal="right"/>
      <protection/>
    </xf>
    <xf numFmtId="9" fontId="18" fillId="0" borderId="8" xfId="23" applyNumberFormat="1" applyFont="1" applyBorder="1">
      <alignment/>
      <protection/>
    </xf>
    <xf numFmtId="3" fontId="18" fillId="0" borderId="0" xfId="30" applyNumberFormat="1" applyFont="1" applyBorder="1" applyAlignment="1">
      <alignment/>
    </xf>
    <xf numFmtId="0" fontId="14" fillId="0" borderId="0" xfId="23" applyFont="1" applyBorder="1" applyAlignment="1">
      <alignment horizontal="left"/>
      <protection/>
    </xf>
    <xf numFmtId="3" fontId="14" fillId="5" borderId="2" xfId="30" applyNumberFormat="1" applyFont="1" applyFill="1" applyBorder="1" applyAlignment="1">
      <alignment/>
    </xf>
    <xf numFmtId="3" fontId="14" fillId="0" borderId="1" xfId="30" applyNumberFormat="1" applyFont="1" applyBorder="1" applyAlignment="1">
      <alignment/>
    </xf>
    <xf numFmtId="9" fontId="14" fillId="0" borderId="12" xfId="23" applyNumberFormat="1" applyFont="1" applyFill="1" applyBorder="1">
      <alignment/>
      <protection/>
    </xf>
    <xf numFmtId="3" fontId="14" fillId="5" borderId="14" xfId="30" applyNumberFormat="1" applyFont="1" applyFill="1" applyBorder="1" applyAlignment="1">
      <alignment/>
    </xf>
    <xf numFmtId="3" fontId="14" fillId="0" borderId="10" xfId="30" applyNumberFormat="1" applyFont="1" applyBorder="1" applyAlignment="1">
      <alignment/>
    </xf>
    <xf numFmtId="9" fontId="24" fillId="0" borderId="11" xfId="23" applyNumberFormat="1" applyFont="1" applyBorder="1" applyAlignment="1">
      <alignment horizontal="right"/>
      <protection/>
    </xf>
    <xf numFmtId="3" fontId="14" fillId="0" borderId="10" xfId="23" applyNumberFormat="1" applyFont="1" applyBorder="1">
      <alignment/>
      <protection/>
    </xf>
    <xf numFmtId="3" fontId="14" fillId="0" borderId="1" xfId="23" applyNumberFormat="1" applyFont="1" applyBorder="1">
      <alignment/>
      <protection/>
    </xf>
    <xf numFmtId="3" fontId="24" fillId="3" borderId="4" xfId="23" applyNumberFormat="1" applyFont="1" applyFill="1" applyBorder="1" applyAlignment="1">
      <alignment horizontal="right"/>
      <protection/>
    </xf>
    <xf numFmtId="3" fontId="24" fillId="0" borderId="4" xfId="23" applyNumberFormat="1" applyFont="1" applyFill="1" applyBorder="1" applyAlignment="1">
      <alignment horizontal="right"/>
      <protection/>
    </xf>
    <xf numFmtId="3" fontId="20" fillId="5" borderId="2" xfId="30" applyNumberFormat="1" applyFont="1" applyFill="1" applyBorder="1" applyAlignment="1">
      <alignment horizontal="right"/>
    </xf>
    <xf numFmtId="3" fontId="21" fillId="0" borderId="2" xfId="23" applyNumberFormat="1" applyFont="1" applyBorder="1">
      <alignment/>
      <protection/>
    </xf>
    <xf numFmtId="3" fontId="21" fillId="0" borderId="4" xfId="23" applyNumberFormat="1" applyFont="1" applyBorder="1">
      <alignment/>
      <protection/>
    </xf>
    <xf numFmtId="3" fontId="21" fillId="5" borderId="1" xfId="23" applyNumberFormat="1" applyFont="1" applyFill="1" applyBorder="1">
      <alignment/>
      <protection/>
    </xf>
    <xf numFmtId="3" fontId="18" fillId="5" borderId="9" xfId="23" applyNumberFormat="1" applyFont="1" applyFill="1" applyBorder="1">
      <alignment/>
      <protection/>
    </xf>
    <xf numFmtId="3" fontId="18" fillId="0" borderId="8" xfId="23" applyNumberFormat="1" applyFont="1" applyBorder="1">
      <alignment/>
      <protection/>
    </xf>
    <xf numFmtId="9" fontId="36" fillId="0" borderId="8" xfId="29" applyNumberFormat="1" applyFont="1" applyBorder="1" applyAlignment="1">
      <alignment horizontal="right"/>
    </xf>
    <xf numFmtId="3" fontId="18" fillId="5" borderId="8" xfId="23" applyNumberFormat="1" applyFont="1" applyFill="1" applyBorder="1">
      <alignment/>
      <protection/>
    </xf>
    <xf numFmtId="0" fontId="18" fillId="0" borderId="0" xfId="23" applyFont="1" applyBorder="1" applyAlignment="1">
      <alignment horizontal="right"/>
      <protection/>
    </xf>
    <xf numFmtId="3" fontId="18" fillId="5" borderId="2" xfId="23" applyNumberFormat="1" applyFont="1" applyFill="1" applyBorder="1">
      <alignment/>
      <protection/>
    </xf>
    <xf numFmtId="3" fontId="18" fillId="0" borderId="1" xfId="23" applyNumberFormat="1" applyFont="1" applyBorder="1">
      <alignment/>
      <protection/>
    </xf>
    <xf numFmtId="3" fontId="18" fillId="5" borderId="14" xfId="30" applyNumberFormat="1" applyFont="1" applyFill="1" applyBorder="1" applyAlignment="1">
      <alignment/>
    </xf>
    <xf numFmtId="3" fontId="18" fillId="5" borderId="13" xfId="30" applyNumberFormat="1" applyFont="1" applyFill="1" applyBorder="1" applyAlignment="1">
      <alignment/>
    </xf>
    <xf numFmtId="3" fontId="18" fillId="0" borderId="2" xfId="30" applyNumberFormat="1" applyFont="1" applyBorder="1" applyAlignment="1">
      <alignment/>
    </xf>
    <xf numFmtId="3" fontId="18" fillId="0" borderId="4" xfId="30" applyNumberFormat="1" applyFont="1" applyBorder="1" applyAlignment="1">
      <alignment/>
    </xf>
    <xf numFmtId="3" fontId="18" fillId="5" borderId="10" xfId="23" applyNumberFormat="1" applyFont="1" applyFill="1" applyBorder="1">
      <alignment/>
      <protection/>
    </xf>
    <xf numFmtId="3" fontId="18" fillId="0" borderId="13" xfId="23" applyNumberFormat="1" applyFont="1" applyBorder="1">
      <alignment/>
      <protection/>
    </xf>
    <xf numFmtId="9" fontId="18" fillId="0" borderId="1" xfId="23" applyNumberFormat="1" applyFont="1" applyBorder="1">
      <alignment/>
      <protection/>
    </xf>
    <xf numFmtId="0" fontId="18" fillId="0" borderId="0" xfId="23" applyFont="1" applyBorder="1" applyAlignment="1">
      <alignment horizontal="left"/>
      <protection/>
    </xf>
    <xf numFmtId="3" fontId="14" fillId="5" borderId="2" xfId="23" applyNumberFormat="1" applyFont="1" applyFill="1" applyBorder="1">
      <alignment/>
      <protection/>
    </xf>
    <xf numFmtId="0" fontId="18" fillId="0" borderId="3" xfId="23" applyFont="1" applyBorder="1" applyAlignment="1">
      <alignment horizontal="left"/>
      <protection/>
    </xf>
    <xf numFmtId="3" fontId="18" fillId="5" borderId="12" xfId="23" applyNumberFormat="1" applyFont="1" applyFill="1" applyBorder="1">
      <alignment/>
      <protection/>
    </xf>
    <xf numFmtId="3" fontId="18" fillId="0" borderId="3" xfId="23" applyNumberFormat="1" applyFont="1" applyBorder="1">
      <alignment/>
      <protection/>
    </xf>
    <xf numFmtId="3" fontId="18" fillId="0" borderId="3" xfId="23" applyNumberFormat="1" applyFont="1" applyFill="1" applyBorder="1">
      <alignment/>
      <protection/>
    </xf>
    <xf numFmtId="0" fontId="18" fillId="0" borderId="0" xfId="23" applyFont="1">
      <alignment/>
      <protection/>
    </xf>
    <xf numFmtId="0" fontId="14" fillId="0" borderId="2" xfId="23" applyFont="1" applyBorder="1">
      <alignment/>
      <protection/>
    </xf>
    <xf numFmtId="0" fontId="14" fillId="3" borderId="2" xfId="23" applyFont="1" applyFill="1" applyBorder="1">
      <alignment/>
      <protection/>
    </xf>
    <xf numFmtId="0" fontId="14" fillId="3" borderId="4" xfId="23" applyFont="1" applyFill="1" applyBorder="1">
      <alignment/>
      <protection/>
    </xf>
    <xf numFmtId="9" fontId="14" fillId="3" borderId="1" xfId="23" applyNumberFormat="1" applyFont="1" applyFill="1" applyBorder="1">
      <alignment/>
      <protection/>
    </xf>
    <xf numFmtId="0" fontId="37" fillId="0" borderId="0" xfId="23" applyFont="1">
      <alignment/>
      <protection/>
    </xf>
    <xf numFmtId="4" fontId="14" fillId="0" borderId="0" xfId="23" applyNumberFormat="1" applyFont="1" applyBorder="1">
      <alignment/>
      <protection/>
    </xf>
    <xf numFmtId="3" fontId="18" fillId="5" borderId="2" xfId="30" applyNumberFormat="1" applyFont="1" applyFill="1" applyBorder="1" applyAlignment="1">
      <alignment/>
    </xf>
    <xf numFmtId="3" fontId="18" fillId="0" borderId="1" xfId="30" applyNumberFormat="1" applyFont="1" applyBorder="1" applyAlignment="1">
      <alignment/>
    </xf>
    <xf numFmtId="0" fontId="14" fillId="5" borderId="13" xfId="23" applyFont="1" applyFill="1" applyBorder="1">
      <alignment/>
      <protection/>
    </xf>
    <xf numFmtId="0" fontId="14" fillId="0" borderId="14" xfId="23" applyFont="1" applyBorder="1">
      <alignment/>
      <protection/>
    </xf>
    <xf numFmtId="3" fontId="14" fillId="0" borderId="13" xfId="23" applyNumberFormat="1" applyFont="1" applyBorder="1">
      <alignment/>
      <protection/>
    </xf>
    <xf numFmtId="9" fontId="36" fillId="0" borderId="12" xfId="29" applyNumberFormat="1" applyFont="1" applyBorder="1" applyAlignment="1">
      <alignment horizontal="right"/>
    </xf>
    <xf numFmtId="0" fontId="14" fillId="5" borderId="3" xfId="23" applyFont="1" applyFill="1" applyBorder="1">
      <alignment/>
      <protection/>
    </xf>
    <xf numFmtId="0" fontId="14" fillId="0" borderId="9" xfId="23" applyFont="1" applyBorder="1">
      <alignment/>
      <protection/>
    </xf>
    <xf numFmtId="0" fontId="14" fillId="0" borderId="12" xfId="23" applyFont="1" applyBorder="1">
      <alignment/>
      <protection/>
    </xf>
    <xf numFmtId="0" fontId="14" fillId="3" borderId="0" xfId="23" applyFont="1" applyFill="1" applyBorder="1" applyAlignment="1">
      <alignment horizontal="left"/>
      <protection/>
    </xf>
    <xf numFmtId="3" fontId="14" fillId="3" borderId="1" xfId="30" applyNumberFormat="1" applyFont="1" applyFill="1" applyBorder="1" applyAlignment="1">
      <alignment/>
    </xf>
    <xf numFmtId="0" fontId="14" fillId="5" borderId="0" xfId="23" applyFont="1" applyFill="1" applyBorder="1">
      <alignment/>
      <protection/>
    </xf>
    <xf numFmtId="3" fontId="14" fillId="3" borderId="0" xfId="23" applyNumberFormat="1" applyFont="1" applyFill="1" applyBorder="1">
      <alignment/>
      <protection/>
    </xf>
    <xf numFmtId="0" fontId="14" fillId="0" borderId="0" xfId="23" applyFont="1" applyFill="1" applyBorder="1" applyAlignment="1">
      <alignment horizontal="left"/>
      <protection/>
    </xf>
    <xf numFmtId="3" fontId="14" fillId="0" borderId="1" xfId="30" applyNumberFormat="1" applyFont="1" applyFill="1" applyBorder="1" applyAlignment="1">
      <alignment/>
    </xf>
    <xf numFmtId="0" fontId="14" fillId="0" borderId="2" xfId="23" applyFont="1" applyFill="1" applyBorder="1">
      <alignment/>
      <protection/>
    </xf>
    <xf numFmtId="0" fontId="14" fillId="0" borderId="4" xfId="23" applyFont="1" applyFill="1" applyBorder="1">
      <alignment/>
      <protection/>
    </xf>
    <xf numFmtId="9" fontId="14" fillId="0" borderId="1" xfId="23" applyNumberFormat="1" applyFont="1" applyFill="1" applyBorder="1">
      <alignment/>
      <protection/>
    </xf>
    <xf numFmtId="9" fontId="36" fillId="0" borderId="8" xfId="29" applyNumberFormat="1" applyFont="1" applyFill="1" applyBorder="1" applyAlignment="1">
      <alignment horizontal="right"/>
    </xf>
    <xf numFmtId="9" fontId="36" fillId="0" borderId="12" xfId="23" applyNumberFormat="1" applyFont="1" applyBorder="1" applyAlignment="1">
      <alignment horizontal="right"/>
      <protection/>
    </xf>
    <xf numFmtId="0" fontId="18" fillId="0" borderId="6" xfId="23" applyFont="1" applyBorder="1" applyAlignment="1">
      <alignment horizontal="left"/>
      <protection/>
    </xf>
    <xf numFmtId="3" fontId="18" fillId="5" borderId="5" xfId="23" applyNumberFormat="1" applyFont="1" applyFill="1" applyBorder="1">
      <alignment/>
      <protection/>
    </xf>
    <xf numFmtId="3" fontId="18" fillId="0" borderId="15" xfId="23" applyNumberFormat="1" applyFont="1" applyBorder="1">
      <alignment/>
      <protection/>
    </xf>
    <xf numFmtId="0" fontId="14" fillId="5" borderId="6" xfId="23" applyFont="1" applyFill="1" applyBorder="1">
      <alignment/>
      <protection/>
    </xf>
    <xf numFmtId="0" fontId="14" fillId="0" borderId="5" xfId="23" applyFont="1" applyBorder="1">
      <alignment/>
      <protection/>
    </xf>
    <xf numFmtId="0" fontId="14" fillId="0" borderId="7" xfId="23" applyFont="1" applyBorder="1">
      <alignment/>
      <protection/>
    </xf>
    <xf numFmtId="3" fontId="18" fillId="5" borderId="15" xfId="23" applyNumberFormat="1" applyFont="1" applyFill="1" applyBorder="1">
      <alignment/>
      <protection/>
    </xf>
    <xf numFmtId="3" fontId="18" fillId="0" borderId="6" xfId="23" applyNumberFormat="1" applyFont="1" applyFill="1" applyBorder="1">
      <alignment/>
      <protection/>
    </xf>
    <xf numFmtId="9" fontId="18" fillId="0" borderId="15" xfId="23" applyNumberFormat="1" applyFont="1" applyBorder="1">
      <alignment/>
      <protection/>
    </xf>
    <xf numFmtId="0" fontId="27" fillId="0" borderId="0" xfId="23" applyFont="1" applyAlignment="1">
      <alignment horizontal="left"/>
      <protection/>
    </xf>
    <xf numFmtId="0" fontId="27" fillId="0" borderId="0" xfId="23" applyFont="1" applyBorder="1" applyAlignment="1">
      <alignment horizontal="right"/>
      <protection/>
    </xf>
    <xf numFmtId="0" fontId="18" fillId="0" borderId="0" xfId="23" applyFont="1" applyAlignment="1">
      <alignment horizontal="right"/>
      <protection/>
    </xf>
    <xf numFmtId="0" fontId="14" fillId="0" borderId="0" xfId="24" applyFont="1">
      <alignment/>
      <protection/>
    </xf>
    <xf numFmtId="0" fontId="14" fillId="0" borderId="0" xfId="23" applyFont="1" applyAlignment="1" quotePrefix="1">
      <alignment horizontal="right"/>
      <protection/>
    </xf>
    <xf numFmtId="0" fontId="37" fillId="0" borderId="4" xfId="23" applyFont="1" applyBorder="1">
      <alignment/>
      <protection/>
    </xf>
    <xf numFmtId="3" fontId="14" fillId="0" borderId="0" xfId="23" applyNumberFormat="1" applyFont="1" applyAlignment="1">
      <alignment horizontal="right"/>
      <protection/>
    </xf>
    <xf numFmtId="0" fontId="37" fillId="0" borderId="0" xfId="23" applyFont="1" applyAlignment="1">
      <alignment horizontal="left"/>
      <protection/>
    </xf>
    <xf numFmtId="3" fontId="37" fillId="0" borderId="0" xfId="23" applyNumberFormat="1" applyFont="1">
      <alignment/>
      <protection/>
    </xf>
    <xf numFmtId="9" fontId="37" fillId="0" borderId="0" xfId="23" applyNumberFormat="1" applyFont="1">
      <alignment/>
      <protection/>
    </xf>
    <xf numFmtId="0" fontId="14" fillId="0" borderId="16" xfId="23" applyFont="1" applyBorder="1">
      <alignment/>
      <protection/>
    </xf>
    <xf numFmtId="4" fontId="14" fillId="0" borderId="17" xfId="23" applyNumberFormat="1" applyFont="1" applyBorder="1">
      <alignment/>
      <protection/>
    </xf>
    <xf numFmtId="3" fontId="37" fillId="0" borderId="0" xfId="23" applyNumberFormat="1" applyFont="1" applyAlignment="1">
      <alignment horizontal="right"/>
      <protection/>
    </xf>
    <xf numFmtId="3" fontId="18" fillId="0" borderId="0" xfId="23" applyNumberFormat="1" applyFont="1">
      <alignment/>
      <protection/>
    </xf>
    <xf numFmtId="9" fontId="18" fillId="0" borderId="0" xfId="23" applyNumberFormat="1" applyFont="1">
      <alignment/>
      <protection/>
    </xf>
    <xf numFmtId="3" fontId="18" fillId="0" borderId="0" xfId="23" applyNumberFormat="1" applyFont="1" applyAlignment="1">
      <alignment horizontal="right"/>
      <protection/>
    </xf>
    <xf numFmtId="180" fontId="14" fillId="0" borderId="0" xfId="23" applyNumberFormat="1" applyFont="1">
      <alignment/>
      <protection/>
    </xf>
    <xf numFmtId="0" fontId="26" fillId="0" borderId="4" xfId="0" applyFont="1" applyBorder="1" applyAlignment="1">
      <alignment/>
    </xf>
    <xf numFmtId="3" fontId="26" fillId="0" borderId="4" xfId="0" applyNumberFormat="1" applyFont="1" applyBorder="1" applyAlignment="1">
      <alignment/>
    </xf>
    <xf numFmtId="3" fontId="14" fillId="3" borderId="3" xfId="0" applyNumberFormat="1" applyFont="1" applyFill="1" applyBorder="1" applyAlignment="1">
      <alignment/>
    </xf>
    <xf numFmtId="3" fontId="14" fillId="3" borderId="12" xfId="0" applyNumberFormat="1" applyFont="1" applyFill="1" applyBorder="1" applyAlignment="1">
      <alignment/>
    </xf>
    <xf numFmtId="3" fontId="14" fillId="3" borderId="12" xfId="0" applyNumberFormat="1" applyFont="1" applyFill="1" applyBorder="1" applyAlignment="1">
      <alignment horizontal="center"/>
    </xf>
  </cellXfs>
  <cellStyles count="17">
    <cellStyle name="Normal" xfId="0"/>
    <cellStyle name="Comma" xfId="15"/>
    <cellStyle name="Comma [0]" xfId="16"/>
    <cellStyle name="Comma_Fördelade overheadkostnader tert 2 2007" xfId="17"/>
    <cellStyle name="Currency" xfId="18"/>
    <cellStyle name="Currency [0]" xfId="19"/>
    <cellStyle name="Currency_Fördelade overheadkostnader tert 2 2007" xfId="20"/>
    <cellStyle name="Followed Hyperlink" xfId="21"/>
    <cellStyle name="Hyperlink" xfId="22"/>
    <cellStyle name="Normal_1995 Sammanfattning" xfId="23"/>
    <cellStyle name="Normal_Fördelade overheadkostnader tert 2 2007" xfId="24"/>
    <cellStyle name="Normal_Intäkter 98-1 till styrelsen" xfId="25"/>
    <cellStyle name="Normal_kostnader" xfId="26"/>
    <cellStyle name="Normal_Res apr - 05" xfId="27"/>
    <cellStyle name="Normal_Version I" xfId="28"/>
    <cellStyle name="Percent" xfId="29"/>
    <cellStyle name="Tusental_1995 Sammanfattning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2400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ms Rmn"/>
              <a:ea typeface="Tms Rmn"/>
              <a:cs typeface="Tms Rmn"/>
            </a:rPr>
            <a:t>KOSTNADSBUDGET 1992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%202007\Budgetuppf&#246;ljning\Int&#228;ktskonton%20per%20m&#229;na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%202007\Budgetuppf&#246;ljning\PRO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%202005\Budgetuppf&#246;ljning\Tertial%201\Tidrapporter%202005%20ter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i"/>
      <sheetName val="februari"/>
      <sheetName val="mars"/>
      <sheetName val="april"/>
      <sheetName val="aprilny"/>
      <sheetName val="maj"/>
      <sheetName val="juni"/>
      <sheetName val="juli"/>
      <sheetName val="augusti"/>
    </sheetNames>
    <sheetDataSet>
      <sheetData sheetId="8">
        <row r="8">
          <cell r="B8">
            <v>3585</v>
          </cell>
        </row>
        <row r="9">
          <cell r="B9">
            <v>151</v>
          </cell>
        </row>
        <row r="10">
          <cell r="B10">
            <v>7417</v>
          </cell>
        </row>
        <row r="11">
          <cell r="B11">
            <v>189</v>
          </cell>
        </row>
        <row r="12">
          <cell r="B12">
            <v>12103</v>
          </cell>
        </row>
        <row r="13">
          <cell r="B13">
            <v>2010</v>
          </cell>
        </row>
        <row r="14">
          <cell r="B14">
            <v>1152</v>
          </cell>
        </row>
        <row r="15">
          <cell r="B15">
            <v>302</v>
          </cell>
        </row>
        <row r="16">
          <cell r="B16">
            <v>1249</v>
          </cell>
        </row>
        <row r="17">
          <cell r="B17">
            <v>245</v>
          </cell>
        </row>
        <row r="18">
          <cell r="B18">
            <v>18</v>
          </cell>
        </row>
        <row r="19">
          <cell r="B19">
            <v>1076</v>
          </cell>
        </row>
        <row r="20">
          <cell r="B20">
            <v>125</v>
          </cell>
        </row>
        <row r="21">
          <cell r="B21">
            <v>48</v>
          </cell>
        </row>
        <row r="24">
          <cell r="B24">
            <v>117</v>
          </cell>
        </row>
        <row r="25">
          <cell r="B25">
            <v>57</v>
          </cell>
        </row>
        <row r="28">
          <cell r="B28">
            <v>923</v>
          </cell>
        </row>
        <row r="31">
          <cell r="B31">
            <v>0</v>
          </cell>
        </row>
        <row r="32">
          <cell r="B32">
            <v>25</v>
          </cell>
        </row>
        <row r="34">
          <cell r="B34">
            <v>215</v>
          </cell>
        </row>
        <row r="35">
          <cell r="B35">
            <v>1</v>
          </cell>
        </row>
        <row r="37">
          <cell r="B37">
            <v>113</v>
          </cell>
        </row>
        <row r="39">
          <cell r="B39">
            <v>-2164</v>
          </cell>
        </row>
        <row r="40">
          <cell r="B40">
            <v>60</v>
          </cell>
        </row>
        <row r="41">
          <cell r="B41">
            <v>14</v>
          </cell>
        </row>
        <row r="42">
          <cell r="B42">
            <v>0</v>
          </cell>
        </row>
        <row r="43">
          <cell r="B43">
            <v>5</v>
          </cell>
        </row>
        <row r="44">
          <cell r="B44">
            <v>5</v>
          </cell>
        </row>
        <row r="45">
          <cell r="B45">
            <v>372</v>
          </cell>
        </row>
        <row r="46">
          <cell r="B46">
            <v>2</v>
          </cell>
        </row>
        <row r="47">
          <cell r="B47">
            <v>6</v>
          </cell>
        </row>
        <row r="48">
          <cell r="B48">
            <v>77</v>
          </cell>
        </row>
        <row r="49">
          <cell r="B49">
            <v>97</v>
          </cell>
        </row>
        <row r="50">
          <cell r="B50">
            <v>642</v>
          </cell>
        </row>
        <row r="51">
          <cell r="B51">
            <v>334</v>
          </cell>
        </row>
        <row r="52">
          <cell r="B52">
            <v>130</v>
          </cell>
        </row>
        <row r="53">
          <cell r="B53">
            <v>17</v>
          </cell>
        </row>
        <row r="56">
          <cell r="B56">
            <v>0</v>
          </cell>
        </row>
        <row r="57">
          <cell r="B57">
            <v>3</v>
          </cell>
        </row>
        <row r="58">
          <cell r="B58">
            <v>0</v>
          </cell>
        </row>
        <row r="59">
          <cell r="B59">
            <v>4</v>
          </cell>
        </row>
        <row r="60">
          <cell r="B60">
            <v>8</v>
          </cell>
        </row>
        <row r="61">
          <cell r="B61">
            <v>1</v>
          </cell>
        </row>
        <row r="62">
          <cell r="B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spcs"/>
      <sheetName val="januari"/>
      <sheetName val="Sammanfattning januari"/>
      <sheetName val="02spcs"/>
      <sheetName val="februari"/>
      <sheetName val="Sammanfattning februari"/>
      <sheetName val="03spcs"/>
      <sheetName val="mars"/>
      <sheetName val="Sammanfattning mars"/>
      <sheetName val="04spcs"/>
      <sheetName val="april"/>
      <sheetName val="Sammanfattning april"/>
      <sheetName val="05spcs"/>
      <sheetName val="maj"/>
      <sheetName val="Sammanfattning maj"/>
      <sheetName val="06spcs"/>
      <sheetName val="juni"/>
      <sheetName val="Sammanfattning juni"/>
      <sheetName val="07spcs"/>
      <sheetName val="juli"/>
      <sheetName val="Sammanfattning juli"/>
      <sheetName val="08spcs"/>
      <sheetName val="augusti"/>
      <sheetName val="Sammanfattning augusti"/>
    </sheetNames>
    <sheetDataSet>
      <sheetData sheetId="23">
        <row r="18">
          <cell r="C18">
            <v>307</v>
          </cell>
          <cell r="E18">
            <v>609</v>
          </cell>
        </row>
        <row r="19">
          <cell r="C19">
            <v>540</v>
          </cell>
          <cell r="E19">
            <v>554</v>
          </cell>
        </row>
        <row r="20">
          <cell r="C20">
            <v>0</v>
          </cell>
          <cell r="E20">
            <v>0</v>
          </cell>
        </row>
        <row r="21">
          <cell r="C21">
            <v>278</v>
          </cell>
          <cell r="E21">
            <v>420</v>
          </cell>
        </row>
        <row r="22">
          <cell r="C22">
            <v>270</v>
          </cell>
          <cell r="E22">
            <v>318</v>
          </cell>
        </row>
        <row r="26">
          <cell r="C26">
            <v>489</v>
          </cell>
          <cell r="E26">
            <v>519</v>
          </cell>
        </row>
        <row r="27">
          <cell r="C27">
            <v>131</v>
          </cell>
          <cell r="E27">
            <v>201</v>
          </cell>
        </row>
        <row r="28">
          <cell r="C28">
            <v>16</v>
          </cell>
          <cell r="E28">
            <v>19</v>
          </cell>
        </row>
        <row r="29">
          <cell r="C29">
            <v>768</v>
          </cell>
          <cell r="E29">
            <v>2070</v>
          </cell>
        </row>
        <row r="30">
          <cell r="C30">
            <v>295</v>
          </cell>
          <cell r="E30">
            <v>505</v>
          </cell>
        </row>
        <row r="31">
          <cell r="C31">
            <v>767</v>
          </cell>
          <cell r="E31">
            <v>767</v>
          </cell>
        </row>
        <row r="32">
          <cell r="C32">
            <v>335</v>
          </cell>
          <cell r="E32">
            <v>532</v>
          </cell>
        </row>
        <row r="36">
          <cell r="C36">
            <v>55</v>
          </cell>
          <cell r="E36">
            <v>110</v>
          </cell>
        </row>
        <row r="37">
          <cell r="C37">
            <v>11</v>
          </cell>
          <cell r="E37">
            <v>21</v>
          </cell>
        </row>
        <row r="38">
          <cell r="C38">
            <v>5</v>
          </cell>
          <cell r="E38">
            <v>16</v>
          </cell>
        </row>
        <row r="39">
          <cell r="C39">
            <v>28</v>
          </cell>
          <cell r="E39">
            <v>112</v>
          </cell>
        </row>
        <row r="40">
          <cell r="C40">
            <v>136</v>
          </cell>
          <cell r="E40">
            <v>194</v>
          </cell>
        </row>
        <row r="41">
          <cell r="C41">
            <v>22</v>
          </cell>
          <cell r="E41">
            <v>122</v>
          </cell>
        </row>
        <row r="42">
          <cell r="C42">
            <v>84</v>
          </cell>
          <cell r="E42">
            <v>425</v>
          </cell>
        </row>
        <row r="43">
          <cell r="C43">
            <v>48</v>
          </cell>
          <cell r="E43">
            <v>123</v>
          </cell>
        </row>
        <row r="47">
          <cell r="C47">
            <v>186</v>
          </cell>
          <cell r="E47">
            <v>186</v>
          </cell>
        </row>
        <row r="48">
          <cell r="C48">
            <v>0</v>
          </cell>
          <cell r="E48">
            <v>5</v>
          </cell>
        </row>
        <row r="49">
          <cell r="C49">
            <v>82</v>
          </cell>
          <cell r="E49">
            <v>95</v>
          </cell>
        </row>
        <row r="50">
          <cell r="C50">
            <v>76</v>
          </cell>
          <cell r="E50">
            <v>360</v>
          </cell>
        </row>
        <row r="51">
          <cell r="C51">
            <v>145</v>
          </cell>
          <cell r="E51">
            <v>298</v>
          </cell>
        </row>
        <row r="52">
          <cell r="C52">
            <v>3</v>
          </cell>
          <cell r="E52">
            <v>40</v>
          </cell>
        </row>
        <row r="53">
          <cell r="C53">
            <v>4</v>
          </cell>
          <cell r="E53">
            <v>20</v>
          </cell>
        </row>
        <row r="54">
          <cell r="C54">
            <v>29</v>
          </cell>
          <cell r="E54">
            <v>40</v>
          </cell>
        </row>
        <row r="55">
          <cell r="C55">
            <v>1</v>
          </cell>
          <cell r="E55">
            <v>40</v>
          </cell>
        </row>
        <row r="59">
          <cell r="E59">
            <v>3643</v>
          </cell>
        </row>
        <row r="60">
          <cell r="E60">
            <v>1537</v>
          </cell>
        </row>
        <row r="61">
          <cell r="C61">
            <v>1748</v>
          </cell>
          <cell r="E61">
            <v>3315</v>
          </cell>
        </row>
        <row r="62">
          <cell r="C62">
            <v>23</v>
          </cell>
          <cell r="E62">
            <v>2</v>
          </cell>
        </row>
        <row r="63">
          <cell r="C63">
            <v>70</v>
          </cell>
          <cell r="E63">
            <v>195</v>
          </cell>
        </row>
        <row r="64">
          <cell r="C64">
            <v>-547</v>
          </cell>
          <cell r="E64">
            <v>-765</v>
          </cell>
        </row>
        <row r="68">
          <cell r="C68">
            <v>1657</v>
          </cell>
          <cell r="E68">
            <v>2496</v>
          </cell>
        </row>
        <row r="69">
          <cell r="C69">
            <v>35</v>
          </cell>
          <cell r="E69">
            <v>149</v>
          </cell>
        </row>
        <row r="70">
          <cell r="C70">
            <v>291</v>
          </cell>
          <cell r="E70">
            <v>713</v>
          </cell>
        </row>
        <row r="71">
          <cell r="C71">
            <v>79</v>
          </cell>
          <cell r="E71">
            <v>140</v>
          </cell>
        </row>
        <row r="72">
          <cell r="C72">
            <v>494</v>
          </cell>
          <cell r="E72">
            <v>600</v>
          </cell>
        </row>
        <row r="73">
          <cell r="C73">
            <v>8770</v>
          </cell>
          <cell r="E73">
            <v>14258</v>
          </cell>
        </row>
        <row r="77">
          <cell r="C77">
            <v>10000</v>
          </cell>
          <cell r="E77">
            <v>15063</v>
          </cell>
        </row>
        <row r="78">
          <cell r="C78">
            <v>128</v>
          </cell>
          <cell r="E78">
            <v>313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jänstefördelning (2)"/>
      <sheetName val="Anvisningar"/>
      <sheetName val="Pressek"/>
      <sheetName val="Utbildning"/>
      <sheetName val="Arbetsgrupper"/>
      <sheetName val="Samordnare"/>
      <sheetName val="Kampanj"/>
      <sheetName val="Blixtaktioner"/>
      <sheetName val="Marknadsansv"/>
      <sheetName val="Insamling"/>
      <sheetName val="Flykting"/>
      <sheetName val="Katarina"/>
      <sheetName val="Regionalt Göteborg"/>
      <sheetName val="Styrelsesekr"/>
      <sheetName val="Amnesty Press"/>
      <sheetName val="Generalsekr ass"/>
      <sheetName val="Sammanställning "/>
      <sheetName val="Sammans tjänster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tabSelected="1" workbookViewId="0" topLeftCell="A7">
      <selection activeCell="L38" sqref="L38"/>
    </sheetView>
  </sheetViews>
  <sheetFormatPr defaultColWidth="9.00390625" defaultRowHeight="12.75"/>
  <cols>
    <col min="1" max="1" width="29.00390625" style="33" customWidth="1"/>
    <col min="2" max="4" width="10.125" style="33" customWidth="1"/>
    <col min="5" max="5" width="11.00390625" style="33" customWidth="1"/>
    <col min="6" max="6" width="10.125" style="36" customWidth="1"/>
    <col min="7" max="7" width="12.375" style="33" customWidth="1"/>
    <col min="8" max="8" width="10.625" style="33" customWidth="1"/>
    <col min="9" max="9" width="13.875" style="33" customWidth="1"/>
    <col min="10" max="10" width="13.00390625" style="33" bestFit="1" customWidth="1"/>
    <col min="11" max="16384" width="9.375" style="33" customWidth="1"/>
  </cols>
  <sheetData>
    <row r="1" spans="1:8" ht="15">
      <c r="A1" s="30"/>
      <c r="B1" s="30"/>
      <c r="C1" s="30"/>
      <c r="D1" s="30"/>
      <c r="E1" s="30"/>
      <c r="F1" s="31"/>
      <c r="G1" s="30"/>
      <c r="H1" s="32" t="s">
        <v>0</v>
      </c>
    </row>
    <row r="2" spans="1:8" ht="15">
      <c r="A2" s="30"/>
      <c r="B2" s="30"/>
      <c r="C2" s="30"/>
      <c r="D2" s="30"/>
      <c r="E2" s="30"/>
      <c r="F2" s="31"/>
      <c r="G2" s="30"/>
      <c r="H2" s="32"/>
    </row>
    <row r="3" spans="1:9" ht="18">
      <c r="A3" s="34" t="s">
        <v>144</v>
      </c>
      <c r="B3" s="30"/>
      <c r="C3" s="30"/>
      <c r="D3" s="30"/>
      <c r="E3" s="30"/>
      <c r="F3" s="31"/>
      <c r="G3" s="30"/>
      <c r="H3" s="35"/>
      <c r="I3" s="30"/>
    </row>
    <row r="4" spans="1:9" ht="12.75">
      <c r="A4" s="228"/>
      <c r="B4" s="229"/>
      <c r="C4" s="228"/>
      <c r="D4" s="228"/>
      <c r="E4" s="228"/>
      <c r="F4" s="230"/>
      <c r="G4" s="228"/>
      <c r="H4" s="228"/>
      <c r="I4" s="30"/>
    </row>
    <row r="5" spans="1:9" ht="12.75">
      <c r="A5" s="228"/>
      <c r="B5" s="228"/>
      <c r="C5" s="231"/>
      <c r="D5" s="231"/>
      <c r="E5" s="228"/>
      <c r="F5" s="232"/>
      <c r="G5" s="228"/>
      <c r="H5" s="228"/>
      <c r="I5" s="30"/>
    </row>
    <row r="6" spans="1:9" ht="31.5">
      <c r="A6" s="233"/>
      <c r="B6" s="234" t="s">
        <v>118</v>
      </c>
      <c r="C6" s="234" t="s">
        <v>119</v>
      </c>
      <c r="D6" s="234" t="s">
        <v>40</v>
      </c>
      <c r="E6" s="234" t="s">
        <v>137</v>
      </c>
      <c r="F6" s="235" t="s">
        <v>139</v>
      </c>
      <c r="G6" s="236" t="s">
        <v>111</v>
      </c>
      <c r="H6" s="236" t="s">
        <v>141</v>
      </c>
      <c r="I6" s="30"/>
    </row>
    <row r="7" spans="1:9" ht="12.75">
      <c r="A7" s="237"/>
      <c r="B7" s="238"/>
      <c r="C7" s="239"/>
      <c r="D7" s="239"/>
      <c r="E7" s="240"/>
      <c r="F7" s="241"/>
      <c r="G7" s="239"/>
      <c r="H7" s="240"/>
      <c r="I7" s="30"/>
    </row>
    <row r="8" spans="1:9" ht="12.75">
      <c r="A8" s="242" t="s">
        <v>52</v>
      </c>
      <c r="B8" s="238"/>
      <c r="C8" s="239"/>
      <c r="D8" s="239"/>
      <c r="E8" s="240"/>
      <c r="F8" s="241"/>
      <c r="G8" s="239"/>
      <c r="H8" s="240"/>
      <c r="I8" s="30"/>
    </row>
    <row r="9" spans="1:9" ht="12.75">
      <c r="A9" s="237" t="s">
        <v>1</v>
      </c>
      <c r="B9" s="243">
        <f>'Intäkter bil 2'!B12-'Intäkter bil 2'!B11</f>
        <v>11153</v>
      </c>
      <c r="C9" s="244">
        <v>15790</v>
      </c>
      <c r="D9" s="244">
        <f>+'Intäkter bil 2'!D12-'Intäkter bil 2'!D11</f>
        <v>15670</v>
      </c>
      <c r="E9" s="245">
        <f>SUM(B9/D9)</f>
        <v>0.7117421825143586</v>
      </c>
      <c r="F9" s="244">
        <v>10325</v>
      </c>
      <c r="G9" s="244">
        <v>14490</v>
      </c>
      <c r="H9" s="245">
        <f aca="true" t="shared" si="0" ref="H9:H14">+(B9-F9)/F9</f>
        <v>0.08019370460048426</v>
      </c>
      <c r="I9" s="31"/>
    </row>
    <row r="10" spans="1:9" ht="12.75">
      <c r="A10" s="237" t="s">
        <v>2</v>
      </c>
      <c r="B10" s="243">
        <f>'Intäkter bil 2'!B11</f>
        <v>189</v>
      </c>
      <c r="C10" s="244">
        <v>320</v>
      </c>
      <c r="D10" s="244">
        <f>+'Intäkter bil 2'!D11</f>
        <v>290</v>
      </c>
      <c r="E10" s="245">
        <f aca="true" t="shared" si="1" ref="E10:E25">SUM(B10/D10)</f>
        <v>0.6517241379310345</v>
      </c>
      <c r="F10" s="244">
        <v>216</v>
      </c>
      <c r="G10" s="244">
        <v>320</v>
      </c>
      <c r="H10" s="245">
        <f t="shared" si="0"/>
        <v>-0.125</v>
      </c>
      <c r="I10" s="30"/>
    </row>
    <row r="11" spans="1:9" ht="12.75">
      <c r="A11" s="237" t="s">
        <v>3</v>
      </c>
      <c r="B11" s="243">
        <f>'Intäkter bil 2'!B19</f>
        <v>226</v>
      </c>
      <c r="C11" s="244">
        <v>890</v>
      </c>
      <c r="D11" s="244">
        <f>+'Intäkter bil 2'!D19</f>
        <v>375</v>
      </c>
      <c r="E11" s="245">
        <f t="shared" si="1"/>
        <v>0.6026666666666667</v>
      </c>
      <c r="F11" s="244">
        <v>128</v>
      </c>
      <c r="G11" s="244">
        <v>250</v>
      </c>
      <c r="H11" s="245">
        <f t="shared" si="0"/>
        <v>0.765625</v>
      </c>
      <c r="I11" s="30"/>
    </row>
    <row r="12" spans="1:9" ht="12.75">
      <c r="A12" s="237" t="s">
        <v>4</v>
      </c>
      <c r="B12" s="243">
        <f>'Intäkter bil 2'!B24</f>
        <v>432</v>
      </c>
      <c r="C12" s="244">
        <v>510</v>
      </c>
      <c r="D12" s="244">
        <f>+'Intäkter bil 2'!D24</f>
        <v>450</v>
      </c>
      <c r="E12" s="245">
        <f t="shared" si="1"/>
        <v>0.96</v>
      </c>
      <c r="F12" s="244">
        <v>427</v>
      </c>
      <c r="G12" s="244">
        <v>510</v>
      </c>
      <c r="H12" s="245">
        <f t="shared" si="0"/>
        <v>0.0117096018735363</v>
      </c>
      <c r="I12" s="30"/>
    </row>
    <row r="13" spans="1:9" ht="12.75">
      <c r="A13" s="237" t="s">
        <v>5</v>
      </c>
      <c r="B13" s="243">
        <f>'Intäkter bil 2'!B42</f>
        <v>18721</v>
      </c>
      <c r="C13" s="244">
        <v>35100</v>
      </c>
      <c r="D13" s="244">
        <f>+'Intäkter bil 2'!D42</f>
        <v>37659.21</v>
      </c>
      <c r="E13" s="245">
        <f t="shared" si="1"/>
        <v>0.49711611050789434</v>
      </c>
      <c r="F13" s="244">
        <v>17305</v>
      </c>
      <c r="G13" s="244">
        <v>29185</v>
      </c>
      <c r="H13" s="245">
        <f t="shared" si="0"/>
        <v>0.0818260618318405</v>
      </c>
      <c r="I13" s="30"/>
    </row>
    <row r="14" spans="1:9" ht="12.75">
      <c r="A14" s="237" t="s">
        <v>6</v>
      </c>
      <c r="B14" s="243">
        <f>'Intäkter bil 2'!B46</f>
        <v>14</v>
      </c>
      <c r="C14" s="244">
        <v>230</v>
      </c>
      <c r="D14" s="244">
        <f>+'Intäkter bil 2'!D46</f>
        <v>230</v>
      </c>
      <c r="E14" s="245">
        <f t="shared" si="1"/>
        <v>0.06086956521739131</v>
      </c>
      <c r="F14" s="244">
        <v>15</v>
      </c>
      <c r="G14" s="244">
        <v>270</v>
      </c>
      <c r="H14" s="245">
        <f t="shared" si="0"/>
        <v>-0.06666666666666667</v>
      </c>
      <c r="I14" s="30"/>
    </row>
    <row r="15" spans="1:9" ht="12.75">
      <c r="A15" s="237"/>
      <c r="B15" s="243"/>
      <c r="C15" s="246"/>
      <c r="D15" s="246"/>
      <c r="E15" s="245"/>
      <c r="F15" s="247"/>
      <c r="G15" s="246"/>
      <c r="H15" s="248"/>
      <c r="I15" s="30"/>
    </row>
    <row r="16" spans="1:10" ht="12.75">
      <c r="A16" s="249" t="s">
        <v>7</v>
      </c>
      <c r="B16" s="250">
        <f>SUM(B9:B15)</f>
        <v>30735</v>
      </c>
      <c r="C16" s="251">
        <f>SUM(C9:C15)</f>
        <v>52840</v>
      </c>
      <c r="D16" s="251">
        <f>SUM(D9:D15)</f>
        <v>54674.21</v>
      </c>
      <c r="E16" s="252">
        <f t="shared" si="1"/>
        <v>0.5621480401820164</v>
      </c>
      <c r="F16" s="251">
        <f>SUM(F9:F15)</f>
        <v>28416</v>
      </c>
      <c r="G16" s="251">
        <f>SUM(G9:G15)</f>
        <v>45025</v>
      </c>
      <c r="H16" s="253">
        <f>+(B16-F16)/F16</f>
        <v>0.0816089527027027</v>
      </c>
      <c r="I16" s="31"/>
      <c r="J16" s="36"/>
    </row>
    <row r="17" spans="1:12" ht="12.75">
      <c r="A17" s="242"/>
      <c r="B17" s="254"/>
      <c r="C17" s="255"/>
      <c r="D17" s="256"/>
      <c r="E17" s="257"/>
      <c r="F17" s="255"/>
      <c r="G17" s="258"/>
      <c r="H17" s="259"/>
      <c r="I17" s="30"/>
      <c r="L17" s="36"/>
    </row>
    <row r="18" spans="1:9" ht="12.75">
      <c r="A18" s="242" t="s">
        <v>8</v>
      </c>
      <c r="B18" s="260"/>
      <c r="C18" s="246"/>
      <c r="D18" s="261"/>
      <c r="E18" s="262"/>
      <c r="F18" s="247"/>
      <c r="G18" s="246"/>
      <c r="H18" s="263"/>
      <c r="I18" s="30"/>
    </row>
    <row r="19" spans="1:9" ht="12.75">
      <c r="A19" s="237" t="s">
        <v>9</v>
      </c>
      <c r="B19" s="243">
        <f>SUM('Kostnader bil 3'!B91)</f>
        <v>9906</v>
      </c>
      <c r="C19" s="244">
        <v>18715</v>
      </c>
      <c r="D19" s="264">
        <f>+'Kostnader bil 3'!E91</f>
        <v>16648</v>
      </c>
      <c r="E19" s="262">
        <f t="shared" si="1"/>
        <v>0.5950264296011533</v>
      </c>
      <c r="F19" s="247">
        <v>11172</v>
      </c>
      <c r="G19" s="247">
        <v>16608</v>
      </c>
      <c r="H19" s="245">
        <f>+(B19-F19)/F19</f>
        <v>-0.11331901181525242</v>
      </c>
      <c r="I19" s="30"/>
    </row>
    <row r="20" spans="1:9" ht="12.75">
      <c r="A20" s="237" t="s">
        <v>100</v>
      </c>
      <c r="B20" s="243">
        <f>'Kostnader bil 3'!B92</f>
        <v>2556</v>
      </c>
      <c r="C20" s="244">
        <v>4140</v>
      </c>
      <c r="D20" s="264">
        <f>+'Kostnader bil 3'!E92</f>
        <v>4098</v>
      </c>
      <c r="E20" s="262">
        <f t="shared" si="1"/>
        <v>0.623718887262079</v>
      </c>
      <c r="F20" s="247">
        <v>2352</v>
      </c>
      <c r="G20" s="247">
        <v>3482</v>
      </c>
      <c r="H20" s="245">
        <f>+(B20-F20)/F20</f>
        <v>0.08673469387755102</v>
      </c>
      <c r="I20" s="30"/>
    </row>
    <row r="21" spans="1:9" ht="12.75">
      <c r="A21" s="237" t="s">
        <v>10</v>
      </c>
      <c r="B21" s="243">
        <f>'Kostnader bil 3'!B93</f>
        <v>8770</v>
      </c>
      <c r="C21" s="244">
        <v>14985</v>
      </c>
      <c r="D21" s="264">
        <f>+'Kostnader bil 3'!E93</f>
        <v>14258</v>
      </c>
      <c r="E21" s="262">
        <f t="shared" si="1"/>
        <v>0.6150932809650722</v>
      </c>
      <c r="F21" s="247">
        <v>7704</v>
      </c>
      <c r="G21" s="247">
        <v>11787</v>
      </c>
      <c r="H21" s="245">
        <f>+(B21-F21)/F21</f>
        <v>0.13836967808930425</v>
      </c>
      <c r="I21" s="30"/>
    </row>
    <row r="22" spans="1:9" ht="12.75">
      <c r="A22" s="242" t="s">
        <v>11</v>
      </c>
      <c r="B22" s="254">
        <f>'Kostnader bil 3'!B94</f>
        <v>21232</v>
      </c>
      <c r="C22" s="255">
        <f>SUM(C19:C21)</f>
        <v>37840</v>
      </c>
      <c r="D22" s="256">
        <f>SUM(D19:D21)</f>
        <v>35004</v>
      </c>
      <c r="E22" s="262">
        <f t="shared" si="1"/>
        <v>0.6065592503713861</v>
      </c>
      <c r="F22" s="265">
        <f>SUM(F19:F21)</f>
        <v>21228</v>
      </c>
      <c r="G22" s="265">
        <f>SUM(G19:G21)</f>
        <v>31877</v>
      </c>
      <c r="H22" s="245">
        <f>+(B22-F22)/F22</f>
        <v>0.0001884303749764462</v>
      </c>
      <c r="I22" s="30"/>
    </row>
    <row r="23" spans="1:9" ht="12.75">
      <c r="A23" s="237" t="s">
        <v>138</v>
      </c>
      <c r="B23" s="243">
        <f>'Kostnader bil 3'!B95</f>
        <v>10128</v>
      </c>
      <c r="C23" s="244">
        <v>15000</v>
      </c>
      <c r="D23" s="264">
        <f>SUM('Kostnader bil 3'!E95)</f>
        <v>15376</v>
      </c>
      <c r="E23" s="262">
        <f t="shared" si="1"/>
        <v>0.6586888657648283</v>
      </c>
      <c r="F23" s="247">
        <v>9233</v>
      </c>
      <c r="G23" s="247">
        <v>13850</v>
      </c>
      <c r="H23" s="245">
        <f>+(B23-F23)/F23</f>
        <v>0.09693490739737896</v>
      </c>
      <c r="I23" s="30"/>
    </row>
    <row r="24" spans="1:9" ht="12.75">
      <c r="A24" s="237"/>
      <c r="B24" s="243"/>
      <c r="C24" s="244"/>
      <c r="D24" s="244"/>
      <c r="E24" s="245"/>
      <c r="F24" s="247"/>
      <c r="G24" s="247"/>
      <c r="H24" s="248"/>
      <c r="I24" s="30"/>
    </row>
    <row r="25" spans="1:11" ht="12.75">
      <c r="A25" s="249" t="s">
        <v>12</v>
      </c>
      <c r="B25" s="266">
        <f>B22+B23</f>
        <v>31360</v>
      </c>
      <c r="C25" s="267">
        <f>+C22+C23</f>
        <v>52840</v>
      </c>
      <c r="D25" s="267">
        <f>+D22+D23</f>
        <v>50380</v>
      </c>
      <c r="E25" s="252">
        <f t="shared" si="1"/>
        <v>0.6224692338229456</v>
      </c>
      <c r="F25" s="267">
        <f>SUM(F22:F24)</f>
        <v>30461</v>
      </c>
      <c r="G25" s="267">
        <f>+G22+G23</f>
        <v>45727</v>
      </c>
      <c r="H25" s="253">
        <f>+(B25-F25)/F25</f>
        <v>0.029513147959686157</v>
      </c>
      <c r="I25" s="31"/>
      <c r="J25" s="37"/>
      <c r="K25" s="36"/>
    </row>
    <row r="26" spans="1:10" ht="12.75">
      <c r="A26" s="261"/>
      <c r="B26" s="268"/>
      <c r="C26" s="269"/>
      <c r="D26" s="269"/>
      <c r="E26" s="270"/>
      <c r="F26" s="271"/>
      <c r="G26" s="271"/>
      <c r="H26" s="272"/>
      <c r="I26" s="30"/>
      <c r="J26" s="36"/>
    </row>
    <row r="27" spans="1:9" ht="12.75">
      <c r="A27" s="249" t="s">
        <v>13</v>
      </c>
      <c r="B27" s="266">
        <f>+B16-B25</f>
        <v>-625</v>
      </c>
      <c r="C27" s="267">
        <f>+C16-C25</f>
        <v>0</v>
      </c>
      <c r="D27" s="267">
        <f>+D16-D25</f>
        <v>4294.209999999999</v>
      </c>
      <c r="E27" s="273"/>
      <c r="F27" s="267">
        <f>+F16-F25</f>
        <v>-2045</v>
      </c>
      <c r="G27" s="267">
        <f>+G16-G25</f>
        <v>-702</v>
      </c>
      <c r="H27" s="253">
        <f>+(B27-F27)/F27</f>
        <v>-0.6943765281173594</v>
      </c>
      <c r="I27" s="30"/>
    </row>
    <row r="28" spans="1:9" ht="12.75">
      <c r="A28" s="274" t="s">
        <v>106</v>
      </c>
      <c r="B28" s="275"/>
      <c r="C28" s="276"/>
      <c r="D28" s="276"/>
      <c r="E28" s="233"/>
      <c r="F28" s="276"/>
      <c r="G28" s="233">
        <v>207</v>
      </c>
      <c r="H28" s="233"/>
      <c r="I28" s="30"/>
    </row>
    <row r="29" spans="1:10" ht="12.75">
      <c r="A29" s="249" t="s">
        <v>107</v>
      </c>
      <c r="B29" s="277"/>
      <c r="C29" s="278"/>
      <c r="D29" s="278"/>
      <c r="E29" s="233"/>
      <c r="F29" s="276"/>
      <c r="G29" s="276">
        <f>SUM(G27:G28)</f>
        <v>-495</v>
      </c>
      <c r="H29" s="233"/>
      <c r="I29" s="30"/>
      <c r="J29" s="36"/>
    </row>
    <row r="30" spans="1:10" ht="12.75">
      <c r="A30" s="228"/>
      <c r="B30" s="228"/>
      <c r="C30" s="228"/>
      <c r="D30" s="228"/>
      <c r="E30" s="228"/>
      <c r="F30" s="232"/>
      <c r="G30" s="228"/>
      <c r="H30" s="228"/>
      <c r="I30" s="30"/>
      <c r="J30" s="36"/>
    </row>
    <row r="31" spans="1:9" ht="12.75">
      <c r="A31" s="17" t="s">
        <v>112</v>
      </c>
      <c r="B31" s="228"/>
      <c r="C31" s="228"/>
      <c r="D31" s="228"/>
      <c r="E31" s="228"/>
      <c r="F31" s="232"/>
      <c r="G31" s="228"/>
      <c r="H31" s="228"/>
      <c r="I31" s="30"/>
    </row>
    <row r="32" spans="1:9" ht="12.75">
      <c r="A32" s="17"/>
      <c r="B32" s="228"/>
      <c r="C32" s="228"/>
      <c r="D32" s="228"/>
      <c r="E32" s="228"/>
      <c r="F32" s="232"/>
      <c r="G32" s="228"/>
      <c r="H32" s="228"/>
      <c r="I32" s="30"/>
    </row>
    <row r="33" spans="1:9" ht="12.75">
      <c r="A33" s="17"/>
      <c r="B33" s="228"/>
      <c r="C33" s="228"/>
      <c r="D33" s="231"/>
      <c r="E33" s="228"/>
      <c r="F33" s="228"/>
      <c r="G33" s="232"/>
      <c r="H33" s="228"/>
      <c r="I33" s="30"/>
    </row>
    <row r="34" spans="1:8" ht="15">
      <c r="A34" s="280" t="s">
        <v>108</v>
      </c>
      <c r="B34" s="281"/>
      <c r="C34" s="281"/>
      <c r="D34" s="281"/>
      <c r="E34" s="281"/>
      <c r="F34" s="282"/>
      <c r="G34" s="283"/>
      <c r="H34" s="231"/>
    </row>
    <row r="35" spans="1:8" ht="12.75">
      <c r="A35" s="64"/>
      <c r="B35" s="65"/>
      <c r="C35" s="65"/>
      <c r="D35" s="65"/>
      <c r="E35" s="65"/>
      <c r="F35" s="66"/>
      <c r="G35" s="284"/>
      <c r="H35" s="231"/>
    </row>
    <row r="36" spans="1:8" ht="12.75">
      <c r="A36" s="67"/>
      <c r="B36" s="285" t="s">
        <v>14</v>
      </c>
      <c r="C36" s="285"/>
      <c r="D36" s="285" t="s">
        <v>15</v>
      </c>
      <c r="E36" s="285"/>
      <c r="F36" s="286" t="s">
        <v>16</v>
      </c>
      <c r="G36" s="287"/>
      <c r="H36" s="231"/>
    </row>
    <row r="37" spans="1:8" ht="12.75">
      <c r="A37" s="288">
        <v>1998</v>
      </c>
      <c r="B37" s="289">
        <v>3355</v>
      </c>
      <c r="C37" s="289"/>
      <c r="D37" s="289">
        <v>2393</v>
      </c>
      <c r="E37" s="66"/>
      <c r="F37" s="66">
        <f>+B37-D37</f>
        <v>962</v>
      </c>
      <c r="G37" s="290"/>
      <c r="H37" s="231"/>
    </row>
    <row r="38" spans="1:8" ht="12.75">
      <c r="A38" s="288">
        <v>1999</v>
      </c>
      <c r="B38" s="289">
        <v>1261</v>
      </c>
      <c r="C38" s="291"/>
      <c r="D38" s="289">
        <v>2524</v>
      </c>
      <c r="E38" s="66"/>
      <c r="F38" s="66">
        <f aca="true" t="shared" si="2" ref="F38:F46">+B38-D38</f>
        <v>-1263</v>
      </c>
      <c r="G38" s="290"/>
      <c r="H38" s="231"/>
    </row>
    <row r="39" spans="1:8" ht="12.75">
      <c r="A39" s="288">
        <v>2000</v>
      </c>
      <c r="B39" s="289">
        <v>2029</v>
      </c>
      <c r="C39" s="289"/>
      <c r="D39" s="289">
        <v>2665</v>
      </c>
      <c r="E39" s="66"/>
      <c r="F39" s="66">
        <f t="shared" si="2"/>
        <v>-636</v>
      </c>
      <c r="G39" s="290"/>
      <c r="H39" s="279"/>
    </row>
    <row r="40" spans="1:8" ht="12.75">
      <c r="A40" s="288">
        <v>2001</v>
      </c>
      <c r="B40" s="340">
        <v>1659</v>
      </c>
      <c r="C40" s="289"/>
      <c r="D40" s="340">
        <v>2719</v>
      </c>
      <c r="E40" s="66"/>
      <c r="F40" s="66">
        <f t="shared" si="2"/>
        <v>-1060</v>
      </c>
      <c r="G40" s="290"/>
      <c r="H40" s="279"/>
    </row>
    <row r="41" spans="1:8" ht="12.75">
      <c r="A41" s="288">
        <v>2002</v>
      </c>
      <c r="B41" s="93">
        <v>1675</v>
      </c>
      <c r="C41" s="289"/>
      <c r="D41" s="289">
        <v>2817</v>
      </c>
      <c r="E41" s="66"/>
      <c r="F41" s="66">
        <f t="shared" si="2"/>
        <v>-1142</v>
      </c>
      <c r="G41" s="290"/>
      <c r="H41" s="231"/>
    </row>
    <row r="42" spans="1:8" ht="12.75">
      <c r="A42" s="288">
        <v>2003</v>
      </c>
      <c r="B42" s="93">
        <v>1521</v>
      </c>
      <c r="C42" s="289"/>
      <c r="D42" s="289">
        <v>2756</v>
      </c>
      <c r="E42" s="66"/>
      <c r="F42" s="66">
        <f t="shared" si="2"/>
        <v>-1235</v>
      </c>
      <c r="G42" s="290"/>
      <c r="H42" s="231"/>
    </row>
    <row r="43" spans="1:8" ht="12.75">
      <c r="A43" s="288">
        <v>2004</v>
      </c>
      <c r="B43" s="93">
        <v>2023</v>
      </c>
      <c r="C43" s="289"/>
      <c r="D43" s="289">
        <v>2582</v>
      </c>
      <c r="E43" s="66"/>
      <c r="F43" s="66">
        <f t="shared" si="2"/>
        <v>-559</v>
      </c>
      <c r="G43" s="290"/>
      <c r="H43" s="231"/>
    </row>
    <row r="44" spans="1:8" ht="12.75">
      <c r="A44" s="288">
        <v>2005</v>
      </c>
      <c r="B44" s="93">
        <v>2114</v>
      </c>
      <c r="C44" s="289"/>
      <c r="D44" s="289">
        <v>2890</v>
      </c>
      <c r="E44" s="66"/>
      <c r="F44" s="66">
        <f t="shared" si="2"/>
        <v>-776</v>
      </c>
      <c r="G44" s="290"/>
      <c r="H44" s="231"/>
    </row>
    <row r="45" spans="1:8" ht="12.75">
      <c r="A45" s="288">
        <v>2006</v>
      </c>
      <c r="B45" s="66">
        <v>2924</v>
      </c>
      <c r="C45" s="65"/>
      <c r="D45" s="66">
        <v>3985</v>
      </c>
      <c r="E45" s="65"/>
      <c r="F45" s="66">
        <f t="shared" si="2"/>
        <v>-1061</v>
      </c>
      <c r="G45" s="284"/>
      <c r="H45" s="231"/>
    </row>
    <row r="46" spans="1:8" ht="12.75">
      <c r="A46" s="292">
        <v>2007</v>
      </c>
      <c r="B46" s="68">
        <v>3099</v>
      </c>
      <c r="C46" s="293"/>
      <c r="D46" s="68">
        <v>3973</v>
      </c>
      <c r="E46" s="293"/>
      <c r="F46" s="68">
        <f t="shared" si="2"/>
        <v>-874</v>
      </c>
      <c r="G46" s="294"/>
      <c r="H46" s="231"/>
    </row>
    <row r="47" spans="1:8" ht="9.75" customHeight="1">
      <c r="A47" s="231"/>
      <c r="B47" s="231"/>
      <c r="C47" s="231"/>
      <c r="D47" s="231"/>
      <c r="E47" s="231"/>
      <c r="F47" s="231"/>
      <c r="G47" s="279"/>
      <c r="H47" s="231"/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</sheetData>
  <printOptions/>
  <pageMargins left="0.5905511811023623" right="1.07" top="0.984251968503937" bottom="0.7874015748031497" header="0.5118110236220472" footer="0.5118110236220472"/>
  <pageSetup fitToHeight="1" fitToWidth="1"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2"/>
  <sheetViews>
    <sheetView showGridLines="0" zoomScaleSheetLayoutView="100" workbookViewId="0" topLeftCell="A1">
      <pane ySplit="6" topLeftCell="BM22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31.50390625" style="33" customWidth="1"/>
    <col min="2" max="4" width="13.875" style="33" customWidth="1"/>
    <col min="5" max="5" width="13.875" style="41" customWidth="1"/>
    <col min="6" max="6" width="12.375" style="297" customWidth="1"/>
    <col min="7" max="7" width="12.375" style="36" customWidth="1"/>
    <col min="8" max="8" width="12.375" style="42" customWidth="1"/>
    <col min="9" max="9" width="12.375" style="33" customWidth="1"/>
    <col min="10" max="10" width="10.375" style="33" hidden="1" customWidth="1"/>
    <col min="11" max="11" width="14.375" style="37" hidden="1" customWidth="1"/>
    <col min="12" max="12" width="8.375" style="33" hidden="1" customWidth="1"/>
    <col min="13" max="13" width="14.125" style="53" customWidth="1"/>
    <col min="14" max="14" width="12.125" style="360" bestFit="1" customWidth="1"/>
    <col min="15" max="16384" width="12.00390625" style="33" customWidth="1"/>
  </cols>
  <sheetData>
    <row r="1" spans="1:9" ht="26.25" customHeight="1">
      <c r="A1" s="44"/>
      <c r="H1" s="45"/>
      <c r="I1" s="46" t="s">
        <v>17</v>
      </c>
    </row>
    <row r="2" spans="1:7" ht="15.75" customHeight="1">
      <c r="A2" s="63" t="s">
        <v>142</v>
      </c>
      <c r="B2" s="48"/>
      <c r="C2" s="48"/>
      <c r="D2" s="48"/>
      <c r="F2" s="298"/>
      <c r="G2" s="49"/>
    </row>
    <row r="3" spans="1:7" ht="9" customHeight="1">
      <c r="A3" s="47"/>
      <c r="B3" s="48"/>
      <c r="C3" s="48"/>
      <c r="D3" s="48"/>
      <c r="F3" s="298"/>
      <c r="G3" s="49"/>
    </row>
    <row r="4" spans="1:9" ht="15" customHeight="1">
      <c r="A4" s="69"/>
      <c r="B4" s="70" t="s">
        <v>120</v>
      </c>
      <c r="C4" s="70"/>
      <c r="D4" s="70"/>
      <c r="E4" s="71"/>
      <c r="F4" s="299" t="s">
        <v>113</v>
      </c>
      <c r="G4" s="72"/>
      <c r="H4" s="73"/>
      <c r="I4" s="74"/>
    </row>
    <row r="5" spans="1:17" ht="12.75">
      <c r="A5" s="75" t="s">
        <v>18</v>
      </c>
      <c r="B5" s="172" t="s">
        <v>63</v>
      </c>
      <c r="C5" s="172" t="s">
        <v>101</v>
      </c>
      <c r="D5" s="172" t="s">
        <v>40</v>
      </c>
      <c r="E5" s="211" t="s">
        <v>41</v>
      </c>
      <c r="F5" s="300" t="s">
        <v>63</v>
      </c>
      <c r="G5" s="130" t="s">
        <v>101</v>
      </c>
      <c r="H5" s="128" t="s">
        <v>41</v>
      </c>
      <c r="I5" s="349" t="s">
        <v>121</v>
      </c>
      <c r="M5" s="350"/>
      <c r="Q5" s="51"/>
    </row>
    <row r="6" spans="1:17" ht="12.75">
      <c r="A6" s="65"/>
      <c r="B6" s="173" t="s">
        <v>143</v>
      </c>
      <c r="C6" s="212" t="s">
        <v>102</v>
      </c>
      <c r="D6" s="212"/>
      <c r="E6" s="213" t="s">
        <v>103</v>
      </c>
      <c r="F6" s="301" t="s">
        <v>143</v>
      </c>
      <c r="G6" s="131" t="s">
        <v>102</v>
      </c>
      <c r="H6" s="129" t="s">
        <v>103</v>
      </c>
      <c r="I6" s="320" t="s">
        <v>122</v>
      </c>
      <c r="J6" s="37"/>
      <c r="Q6" s="51"/>
    </row>
    <row r="7" spans="1:17" ht="12.75">
      <c r="A7" s="76" t="s">
        <v>19</v>
      </c>
      <c r="B7" s="174"/>
      <c r="C7" s="67"/>
      <c r="D7" s="67"/>
      <c r="E7" s="182"/>
      <c r="F7" s="302"/>
      <c r="G7" s="303"/>
      <c r="H7" s="304"/>
      <c r="I7" s="321"/>
      <c r="N7" s="361"/>
      <c r="Q7" s="51"/>
    </row>
    <row r="8" spans="1:17" ht="12.75">
      <c r="A8" s="74" t="s">
        <v>20</v>
      </c>
      <c r="B8" s="174">
        <f>SUM('[1]augusti'!$B$8)</f>
        <v>3585</v>
      </c>
      <c r="C8" s="178">
        <v>2960</v>
      </c>
      <c r="D8" s="178">
        <v>3800</v>
      </c>
      <c r="E8" s="183">
        <f>B8/C8</f>
        <v>1.2111486486486487</v>
      </c>
      <c r="F8" s="302">
        <v>4294</v>
      </c>
      <c r="G8" s="305">
        <v>3640</v>
      </c>
      <c r="H8" s="306">
        <f>F8/G8</f>
        <v>1.1796703296703297</v>
      </c>
      <c r="I8" s="324">
        <f>SUM(B8/F8)</f>
        <v>0.8348858872845831</v>
      </c>
      <c r="J8" s="36">
        <f aca="true" t="shared" si="0" ref="J8:J29">B8-F7</f>
        <v>3585</v>
      </c>
      <c r="K8" s="37">
        <f>D8/C8</f>
        <v>1.2837837837837838</v>
      </c>
      <c r="L8" s="36">
        <f>D8-C8</f>
        <v>840</v>
      </c>
      <c r="M8" s="54"/>
      <c r="N8" s="361"/>
      <c r="O8" s="36"/>
      <c r="Q8" s="51"/>
    </row>
    <row r="9" spans="1:17" ht="12.75">
      <c r="A9" s="74" t="s">
        <v>21</v>
      </c>
      <c r="B9" s="174">
        <f>SUM('[1]augusti'!$B$9)</f>
        <v>151</v>
      </c>
      <c r="C9" s="178">
        <v>170</v>
      </c>
      <c r="D9" s="178">
        <v>190</v>
      </c>
      <c r="E9" s="183">
        <f>B9/C9</f>
        <v>0.888235294117647</v>
      </c>
      <c r="F9" s="302">
        <v>180</v>
      </c>
      <c r="G9" s="305">
        <v>800</v>
      </c>
      <c r="H9" s="306">
        <f>F9/G9</f>
        <v>0.225</v>
      </c>
      <c r="I9" s="324">
        <f aca="true" t="shared" si="1" ref="I9:I48">SUM(B9/F9)</f>
        <v>0.8388888888888889</v>
      </c>
      <c r="J9" s="36">
        <f t="shared" si="0"/>
        <v>-4143</v>
      </c>
      <c r="K9" s="37">
        <f aca="true" t="shared" si="2" ref="K9:K48">D9/C9</f>
        <v>1.1176470588235294</v>
      </c>
      <c r="L9" s="36">
        <f aca="true" t="shared" si="3" ref="L9:L48">D9-C9</f>
        <v>20</v>
      </c>
      <c r="M9" s="54"/>
      <c r="N9" s="361"/>
      <c r="O9" s="36"/>
      <c r="Q9" s="51"/>
    </row>
    <row r="10" spans="1:17" ht="12.75">
      <c r="A10" s="74" t="s">
        <v>55</v>
      </c>
      <c r="B10" s="174">
        <f>SUM('[1]augusti'!$B$10)</f>
        <v>7417</v>
      </c>
      <c r="C10" s="178">
        <v>12660</v>
      </c>
      <c r="D10" s="178">
        <v>11680</v>
      </c>
      <c r="E10" s="183">
        <f>B10/C10</f>
        <v>0.5858609794628752</v>
      </c>
      <c r="F10" s="302">
        <v>5851</v>
      </c>
      <c r="G10" s="305">
        <v>10050</v>
      </c>
      <c r="H10" s="306">
        <f>F10/G10</f>
        <v>0.5821890547263682</v>
      </c>
      <c r="I10" s="324">
        <f t="shared" si="1"/>
        <v>1.267646556144249</v>
      </c>
      <c r="J10" s="36">
        <f t="shared" si="0"/>
        <v>7237</v>
      </c>
      <c r="K10" s="37">
        <f t="shared" si="2"/>
        <v>0.9225908372827805</v>
      </c>
      <c r="L10" s="36">
        <f t="shared" si="3"/>
        <v>-980</v>
      </c>
      <c r="M10" s="54"/>
      <c r="N10" s="361"/>
      <c r="O10" s="36"/>
      <c r="Q10" s="51"/>
    </row>
    <row r="11" spans="1:17" ht="12.75">
      <c r="A11" s="74" t="s">
        <v>2</v>
      </c>
      <c r="B11" s="186">
        <f>SUM('[1]augusti'!$B$11)</f>
        <v>189</v>
      </c>
      <c r="C11" s="187">
        <v>320</v>
      </c>
      <c r="D11" s="187">
        <v>290</v>
      </c>
      <c r="E11" s="188">
        <f>B11/C11</f>
        <v>0.590625</v>
      </c>
      <c r="F11" s="307">
        <v>216</v>
      </c>
      <c r="G11" s="308">
        <v>320</v>
      </c>
      <c r="H11" s="309">
        <f>F11/G11</f>
        <v>0.675</v>
      </c>
      <c r="I11" s="325">
        <f t="shared" si="1"/>
        <v>0.875</v>
      </c>
      <c r="J11" s="36">
        <f t="shared" si="0"/>
        <v>-5662</v>
      </c>
      <c r="K11" s="37">
        <f t="shared" si="2"/>
        <v>0.90625</v>
      </c>
      <c r="L11" s="36">
        <f t="shared" si="3"/>
        <v>-30</v>
      </c>
      <c r="M11" s="54"/>
      <c r="N11" s="361"/>
      <c r="O11" s="36"/>
      <c r="Q11" s="51"/>
    </row>
    <row r="12" spans="1:17" ht="12.75">
      <c r="A12" s="78" t="s">
        <v>66</v>
      </c>
      <c r="B12" s="175">
        <f>SUM(B8:B11)</f>
        <v>11342</v>
      </c>
      <c r="C12" s="179">
        <f>SUM(C8:C11)</f>
        <v>16110</v>
      </c>
      <c r="D12" s="179">
        <f>SUM(D8:D11)</f>
        <v>15960</v>
      </c>
      <c r="E12" s="184">
        <f>B12/C12</f>
        <v>0.7040347610180012</v>
      </c>
      <c r="F12" s="310">
        <f>SUM(F8:F11)</f>
        <v>10541</v>
      </c>
      <c r="G12" s="311">
        <f>SUM(G8:G11)</f>
        <v>14810</v>
      </c>
      <c r="H12" s="312">
        <f>+F12/G12</f>
        <v>0.7117488183659689</v>
      </c>
      <c r="I12" s="322">
        <f t="shared" si="1"/>
        <v>1.0759889953514847</v>
      </c>
      <c r="J12" s="36">
        <f t="shared" si="0"/>
        <v>11126</v>
      </c>
      <c r="K12" s="37">
        <f t="shared" si="2"/>
        <v>0.9906890130353817</v>
      </c>
      <c r="L12" s="36">
        <f t="shared" si="3"/>
        <v>-150</v>
      </c>
      <c r="M12" s="54"/>
      <c r="N12" s="361"/>
      <c r="O12" s="36"/>
      <c r="Q12" s="51"/>
    </row>
    <row r="13" spans="1:17" ht="12.75">
      <c r="A13" s="74"/>
      <c r="B13" s="174"/>
      <c r="C13" s="67"/>
      <c r="D13" s="67"/>
      <c r="E13" s="183"/>
      <c r="F13" s="302"/>
      <c r="G13" s="313"/>
      <c r="H13" s="306"/>
      <c r="I13" s="324"/>
      <c r="J13" s="36">
        <f t="shared" si="0"/>
        <v>-10541</v>
      </c>
      <c r="K13" s="37" t="e">
        <f t="shared" si="2"/>
        <v>#DIV/0!</v>
      </c>
      <c r="L13" s="36">
        <f t="shared" si="3"/>
        <v>0</v>
      </c>
      <c r="M13" s="54"/>
      <c r="N13" s="361"/>
      <c r="O13" s="36"/>
      <c r="Q13" s="51"/>
    </row>
    <row r="14" spans="1:17" ht="12.75">
      <c r="A14" s="78" t="s">
        <v>23</v>
      </c>
      <c r="B14" s="174"/>
      <c r="C14" s="180"/>
      <c r="D14" s="180"/>
      <c r="E14" s="183"/>
      <c r="F14" s="302"/>
      <c r="G14" s="313"/>
      <c r="H14" s="306"/>
      <c r="I14" s="324"/>
      <c r="J14" s="36">
        <f t="shared" si="0"/>
        <v>0</v>
      </c>
      <c r="K14" s="37" t="e">
        <f t="shared" si="2"/>
        <v>#DIV/0!</v>
      </c>
      <c r="L14" s="36">
        <f t="shared" si="3"/>
        <v>0</v>
      </c>
      <c r="M14" s="54"/>
      <c r="N14" s="361"/>
      <c r="O14" s="36"/>
      <c r="Q14" s="51"/>
    </row>
    <row r="15" spans="1:17" ht="12.75">
      <c r="A15" s="74" t="s">
        <v>123</v>
      </c>
      <c r="B15" s="174">
        <f>SUM('[1]augusti'!$B$49)</f>
        <v>97</v>
      </c>
      <c r="C15" s="180">
        <v>690</v>
      </c>
      <c r="D15" s="180">
        <v>200</v>
      </c>
      <c r="E15" s="183">
        <f>B15/C15</f>
        <v>0.14057971014492754</v>
      </c>
      <c r="F15" s="302">
        <v>0</v>
      </c>
      <c r="G15" s="313">
        <v>0</v>
      </c>
      <c r="H15" s="306"/>
      <c r="I15" s="324"/>
      <c r="J15" s="36"/>
      <c r="L15" s="36"/>
      <c r="M15" s="54"/>
      <c r="N15" s="361"/>
      <c r="O15" s="36"/>
      <c r="Q15" s="51"/>
    </row>
    <row r="16" spans="1:17" ht="12.75">
      <c r="A16" s="74" t="s">
        <v>64</v>
      </c>
      <c r="B16" s="174">
        <f>SUM('[1]augusti'!$B$41+'[1]augusti'!$B$42+'[1]augusti'!$B$43)</f>
        <v>19</v>
      </c>
      <c r="C16" s="178">
        <v>50</v>
      </c>
      <c r="D16" s="178">
        <v>25</v>
      </c>
      <c r="E16" s="183">
        <f>B16/C16</f>
        <v>0.38</v>
      </c>
      <c r="F16" s="302">
        <v>19</v>
      </c>
      <c r="G16" s="305">
        <v>60</v>
      </c>
      <c r="H16" s="306">
        <f>F16/G16</f>
        <v>0.31666666666666665</v>
      </c>
      <c r="I16" s="324">
        <f t="shared" si="1"/>
        <v>1</v>
      </c>
      <c r="J16" s="36">
        <f>B16-F14</f>
        <v>19</v>
      </c>
      <c r="K16" s="37">
        <f t="shared" si="2"/>
        <v>0.5</v>
      </c>
      <c r="L16" s="36">
        <f t="shared" si="3"/>
        <v>-25</v>
      </c>
      <c r="M16" s="54"/>
      <c r="N16" s="361"/>
      <c r="O16" s="36"/>
      <c r="Q16" s="51"/>
    </row>
    <row r="17" spans="1:17" ht="12.75">
      <c r="A17" s="74" t="s">
        <v>24</v>
      </c>
      <c r="B17" s="174">
        <f>SUM('[1]augusti'!$B$48)</f>
        <v>77</v>
      </c>
      <c r="C17" s="178">
        <v>100</v>
      </c>
      <c r="D17" s="178">
        <v>80</v>
      </c>
      <c r="E17" s="183">
        <f>B17/C17</f>
        <v>0.77</v>
      </c>
      <c r="F17" s="302">
        <v>55</v>
      </c>
      <c r="G17" s="305">
        <v>140</v>
      </c>
      <c r="H17" s="306">
        <f>F17/G17</f>
        <v>0.39285714285714285</v>
      </c>
      <c r="I17" s="324">
        <f t="shared" si="1"/>
        <v>1.4</v>
      </c>
      <c r="J17" s="36">
        <f t="shared" si="0"/>
        <v>58</v>
      </c>
      <c r="K17" s="37">
        <f t="shared" si="2"/>
        <v>0.8</v>
      </c>
      <c r="L17" s="36">
        <f t="shared" si="3"/>
        <v>-20</v>
      </c>
      <c r="M17" s="54"/>
      <c r="N17" s="361"/>
      <c r="O17" s="36"/>
      <c r="Q17" s="51"/>
    </row>
    <row r="18" spans="1:17" ht="12.75">
      <c r="A18" s="74" t="s">
        <v>65</v>
      </c>
      <c r="B18" s="186">
        <f>SUM('[1]augusti'!$B$31+'[1]augusti'!$B$44+'[1]augusti'!$B$46+'[1]augusti'!$B$47++'[1]augusti'!$B$55+'[1]augusti'!$B$56+'[1]augusti'!$B$57)+'[1]augusti'!$B$53</f>
        <v>33</v>
      </c>
      <c r="C18" s="187">
        <v>50</v>
      </c>
      <c r="D18" s="187">
        <v>70</v>
      </c>
      <c r="E18" s="188">
        <f>B18/C18</f>
        <v>0.66</v>
      </c>
      <c r="F18" s="307">
        <v>54</v>
      </c>
      <c r="G18" s="308">
        <v>50</v>
      </c>
      <c r="H18" s="309">
        <f>F18/G18</f>
        <v>1.08</v>
      </c>
      <c r="I18" s="325">
        <f t="shared" si="1"/>
        <v>0.6111111111111112</v>
      </c>
      <c r="J18" s="36">
        <f t="shared" si="0"/>
        <v>-22</v>
      </c>
      <c r="K18" s="37">
        <f t="shared" si="2"/>
        <v>1.4</v>
      </c>
      <c r="L18" s="36">
        <f t="shared" si="3"/>
        <v>20</v>
      </c>
      <c r="M18" s="54"/>
      <c r="N18" s="361"/>
      <c r="O18" s="36"/>
      <c r="Q18" s="51"/>
    </row>
    <row r="19" spans="1:17" ht="12.75">
      <c r="A19" s="78" t="s">
        <v>67</v>
      </c>
      <c r="B19" s="175">
        <f>SUM(B15:B18)</f>
        <v>226</v>
      </c>
      <c r="C19" s="64">
        <f>SUM(C15:C18)</f>
        <v>890</v>
      </c>
      <c r="D19" s="64">
        <f>SUM(D15:D18)</f>
        <v>375</v>
      </c>
      <c r="E19" s="184">
        <f>B19/C19</f>
        <v>0.2539325842696629</v>
      </c>
      <c r="F19" s="310">
        <f>SUM(F16:F18)</f>
        <v>128</v>
      </c>
      <c r="G19" s="314">
        <f>SUM(G16:G18)</f>
        <v>250</v>
      </c>
      <c r="H19" s="312">
        <f>+F19/G19</f>
        <v>0.512</v>
      </c>
      <c r="I19" s="322">
        <f t="shared" si="1"/>
        <v>1.765625</v>
      </c>
      <c r="J19" s="36">
        <f t="shared" si="0"/>
        <v>172</v>
      </c>
      <c r="K19" s="37">
        <f t="shared" si="2"/>
        <v>0.42134831460674155</v>
      </c>
      <c r="L19" s="36">
        <f t="shared" si="3"/>
        <v>-515</v>
      </c>
      <c r="M19" s="54"/>
      <c r="N19" s="361"/>
      <c r="O19" s="36"/>
      <c r="Q19" s="51"/>
    </row>
    <row r="20" spans="1:17" ht="12" customHeight="1">
      <c r="A20" s="74"/>
      <c r="B20" s="174"/>
      <c r="C20" s="67"/>
      <c r="D20" s="67"/>
      <c r="E20" s="183"/>
      <c r="F20" s="302"/>
      <c r="G20" s="313"/>
      <c r="H20" s="306"/>
      <c r="I20" s="324"/>
      <c r="J20" s="36">
        <f t="shared" si="0"/>
        <v>-128</v>
      </c>
      <c r="K20" s="37" t="e">
        <f t="shared" si="2"/>
        <v>#DIV/0!</v>
      </c>
      <c r="L20" s="36">
        <f t="shared" si="3"/>
        <v>0</v>
      </c>
      <c r="M20" s="54"/>
      <c r="N20" s="361"/>
      <c r="O20" s="36"/>
      <c r="Q20" s="51"/>
    </row>
    <row r="21" spans="1:17" ht="12.75">
      <c r="A21" s="76" t="s">
        <v>4</v>
      </c>
      <c r="B21" s="174"/>
      <c r="C21" s="67"/>
      <c r="D21" s="67"/>
      <c r="E21" s="183"/>
      <c r="F21" s="302"/>
      <c r="G21" s="313"/>
      <c r="H21" s="306"/>
      <c r="I21" s="324"/>
      <c r="J21" s="36">
        <f t="shared" si="0"/>
        <v>0</v>
      </c>
      <c r="K21" s="37" t="e">
        <f t="shared" si="2"/>
        <v>#DIV/0!</v>
      </c>
      <c r="L21" s="36">
        <f t="shared" si="3"/>
        <v>0</v>
      </c>
      <c r="M21" s="54"/>
      <c r="N21" s="361"/>
      <c r="O21" s="36"/>
      <c r="Q21" s="51"/>
    </row>
    <row r="22" spans="1:17" ht="12.75">
      <c r="A22" s="74" t="s">
        <v>25</v>
      </c>
      <c r="B22" s="174">
        <f>SUM('[1]augusti'!$B$40)</f>
        <v>60</v>
      </c>
      <c r="C22" s="178">
        <v>60</v>
      </c>
      <c r="D22" s="178">
        <v>60</v>
      </c>
      <c r="E22" s="183">
        <f>B22/C22</f>
        <v>1</v>
      </c>
      <c r="F22" s="302">
        <v>59</v>
      </c>
      <c r="G22" s="305">
        <v>70</v>
      </c>
      <c r="H22" s="306">
        <f>F22/G22</f>
        <v>0.8428571428571429</v>
      </c>
      <c r="I22" s="324">
        <f t="shared" si="1"/>
        <v>1.0169491525423728</v>
      </c>
      <c r="J22" s="36">
        <f t="shared" si="0"/>
        <v>60</v>
      </c>
      <c r="K22" s="37">
        <f t="shared" si="2"/>
        <v>1</v>
      </c>
      <c r="L22" s="36">
        <f t="shared" si="3"/>
        <v>0</v>
      </c>
      <c r="M22" s="54"/>
      <c r="N22" s="361"/>
      <c r="O22" s="36"/>
      <c r="Q22" s="51"/>
    </row>
    <row r="23" spans="1:17" ht="12.75">
      <c r="A23" s="74" t="s">
        <v>26</v>
      </c>
      <c r="B23" s="186">
        <f>SUM('[1]augusti'!$B$45)</f>
        <v>372</v>
      </c>
      <c r="C23" s="187">
        <v>450</v>
      </c>
      <c r="D23" s="187">
        <v>390</v>
      </c>
      <c r="E23" s="188">
        <f>B23/C23</f>
        <v>0.8266666666666667</v>
      </c>
      <c r="F23" s="307">
        <v>368</v>
      </c>
      <c r="G23" s="308">
        <v>440</v>
      </c>
      <c r="H23" s="309">
        <f>F23/G23</f>
        <v>0.8363636363636363</v>
      </c>
      <c r="I23" s="325">
        <f t="shared" si="1"/>
        <v>1.0108695652173914</v>
      </c>
      <c r="J23" s="36">
        <f t="shared" si="0"/>
        <v>313</v>
      </c>
      <c r="K23" s="37">
        <f t="shared" si="2"/>
        <v>0.8666666666666667</v>
      </c>
      <c r="L23" s="36">
        <f t="shared" si="3"/>
        <v>-60</v>
      </c>
      <c r="M23" s="54"/>
      <c r="N23" s="361"/>
      <c r="O23" s="36"/>
      <c r="Q23" s="51"/>
    </row>
    <row r="24" spans="1:17" ht="12.75">
      <c r="A24" s="78" t="s">
        <v>68</v>
      </c>
      <c r="B24" s="176">
        <f>SUM(B22:B23)</f>
        <v>432</v>
      </c>
      <c r="C24" s="179">
        <f>SUM(C22:C23)</f>
        <v>510</v>
      </c>
      <c r="D24" s="179">
        <f>SUM(D22:D23)</f>
        <v>450</v>
      </c>
      <c r="E24" s="184">
        <f>B24/C24</f>
        <v>0.8470588235294118</v>
      </c>
      <c r="F24" s="195">
        <f>SUM(F22:F23)</f>
        <v>427</v>
      </c>
      <c r="G24" s="314">
        <f>SUM(G22:G23)</f>
        <v>510</v>
      </c>
      <c r="H24" s="312">
        <f>+F24/G24</f>
        <v>0.8372549019607843</v>
      </c>
      <c r="I24" s="322">
        <f t="shared" si="1"/>
        <v>1.0117096018735363</v>
      </c>
      <c r="J24" s="36">
        <f t="shared" si="0"/>
        <v>64</v>
      </c>
      <c r="K24" s="37">
        <f t="shared" si="2"/>
        <v>0.8823529411764706</v>
      </c>
      <c r="L24" s="36">
        <f t="shared" si="3"/>
        <v>-60</v>
      </c>
      <c r="M24" s="54"/>
      <c r="N24" s="361"/>
      <c r="O24" s="36"/>
      <c r="Q24" s="51"/>
    </row>
    <row r="25" spans="1:17" ht="12.75">
      <c r="A25" s="78"/>
      <c r="B25" s="176"/>
      <c r="C25" s="179"/>
      <c r="D25" s="179"/>
      <c r="E25" s="184"/>
      <c r="F25" s="195"/>
      <c r="G25" s="314"/>
      <c r="H25" s="312"/>
      <c r="I25" s="324"/>
      <c r="J25" s="36">
        <f t="shared" si="0"/>
        <v>-427</v>
      </c>
      <c r="K25" s="37" t="e">
        <f t="shared" si="2"/>
        <v>#DIV/0!</v>
      </c>
      <c r="L25" s="36">
        <f t="shared" si="3"/>
        <v>0</v>
      </c>
      <c r="M25" s="54"/>
      <c r="N25" s="361"/>
      <c r="O25" s="36"/>
      <c r="Q25" s="51"/>
    </row>
    <row r="26" spans="1:17" ht="14.25" customHeight="1">
      <c r="A26" s="74"/>
      <c r="B26" s="174"/>
      <c r="C26" s="67"/>
      <c r="D26" s="67"/>
      <c r="E26" s="183"/>
      <c r="F26" s="302"/>
      <c r="G26" s="313"/>
      <c r="H26" s="306"/>
      <c r="I26" s="324"/>
      <c r="J26" s="36">
        <f t="shared" si="0"/>
        <v>0</v>
      </c>
      <c r="K26" s="37" t="e">
        <f t="shared" si="2"/>
        <v>#DIV/0!</v>
      </c>
      <c r="L26" s="36">
        <f t="shared" si="3"/>
        <v>0</v>
      </c>
      <c r="M26" s="54"/>
      <c r="N26" s="361"/>
      <c r="O26" s="36"/>
      <c r="Q26" s="51"/>
    </row>
    <row r="27" spans="1:17" ht="10.5" customHeight="1">
      <c r="A27" s="76" t="s">
        <v>5</v>
      </c>
      <c r="B27" s="174"/>
      <c r="C27" s="67"/>
      <c r="D27" s="67"/>
      <c r="E27" s="183"/>
      <c r="F27" s="302"/>
      <c r="G27" s="313"/>
      <c r="H27" s="306"/>
      <c r="I27" s="324"/>
      <c r="J27" s="36">
        <f t="shared" si="0"/>
        <v>0</v>
      </c>
      <c r="K27" s="37" t="e">
        <f t="shared" si="2"/>
        <v>#DIV/0!</v>
      </c>
      <c r="L27" s="36">
        <f t="shared" si="3"/>
        <v>0</v>
      </c>
      <c r="M27" s="54"/>
      <c r="N27" s="361"/>
      <c r="O27" s="36"/>
      <c r="Q27" s="51"/>
    </row>
    <row r="28" spans="1:17" ht="12.75">
      <c r="A28" s="79" t="s">
        <v>69</v>
      </c>
      <c r="B28" s="174">
        <f>SUM('[1]augusti'!$B$28+'[1]augusti'!$B$29+'[1]augusti'!$B$30+'[1]augusti'!$B$36)</f>
        <v>923</v>
      </c>
      <c r="C28" s="67">
        <v>2500</v>
      </c>
      <c r="D28" s="67">
        <v>2500</v>
      </c>
      <c r="E28" s="183">
        <f>B28/C28</f>
        <v>0.3692</v>
      </c>
      <c r="F28" s="302">
        <v>1693</v>
      </c>
      <c r="G28" s="305">
        <v>2700</v>
      </c>
      <c r="H28" s="306">
        <f>F28/G28</f>
        <v>0.6270370370370371</v>
      </c>
      <c r="I28" s="324">
        <f t="shared" si="1"/>
        <v>0.5451860602480804</v>
      </c>
      <c r="J28" s="36">
        <f t="shared" si="0"/>
        <v>923</v>
      </c>
      <c r="K28" s="37">
        <f t="shared" si="2"/>
        <v>1</v>
      </c>
      <c r="L28" s="36">
        <f t="shared" si="3"/>
        <v>0</v>
      </c>
      <c r="M28" s="54"/>
      <c r="N28" s="361"/>
      <c r="O28" s="36"/>
      <c r="Q28" s="51"/>
    </row>
    <row r="29" spans="1:17" ht="12.75">
      <c r="A29" s="79" t="s">
        <v>71</v>
      </c>
      <c r="B29" s="174">
        <f>SUM('[1]augusti'!$B$27+'[1]augusti'!$B$34+'[1]augusti'!$B$35)</f>
        <v>216</v>
      </c>
      <c r="C29" s="67">
        <v>350</v>
      </c>
      <c r="D29" s="67">
        <v>350</v>
      </c>
      <c r="E29" s="183">
        <f>B29/C29</f>
        <v>0.6171428571428571</v>
      </c>
      <c r="F29" s="302">
        <v>263</v>
      </c>
      <c r="G29" s="305">
        <v>450</v>
      </c>
      <c r="H29" s="306">
        <f aca="true" t="shared" si="4" ref="H29:H41">F29/G29</f>
        <v>0.5844444444444444</v>
      </c>
      <c r="I29" s="324">
        <f t="shared" si="1"/>
        <v>0.8212927756653993</v>
      </c>
      <c r="J29" s="36">
        <f t="shared" si="0"/>
        <v>-1477</v>
      </c>
      <c r="K29" s="37">
        <f t="shared" si="2"/>
        <v>1</v>
      </c>
      <c r="L29" s="36">
        <f t="shared" si="3"/>
        <v>0</v>
      </c>
      <c r="M29" s="54"/>
      <c r="N29" s="361"/>
      <c r="O29" s="36"/>
      <c r="Q29" s="51"/>
    </row>
    <row r="30" spans="1:17" ht="12.75">
      <c r="A30" s="79" t="s">
        <v>136</v>
      </c>
      <c r="B30" s="174">
        <f>SUM('[1]augusti'!$B$50+'[1]augusti'!$B$51+'[1]augusti'!$B$52)</f>
        <v>1106</v>
      </c>
      <c r="C30" s="67">
        <v>1150</v>
      </c>
      <c r="D30" s="67">
        <v>1600</v>
      </c>
      <c r="E30" s="183">
        <f>B30/C30</f>
        <v>0.9617391304347827</v>
      </c>
      <c r="F30" s="302">
        <v>1541</v>
      </c>
      <c r="G30" s="305">
        <v>1500</v>
      </c>
      <c r="H30" s="306">
        <f t="shared" si="4"/>
        <v>1.0273333333333334</v>
      </c>
      <c r="I30" s="324">
        <f t="shared" si="1"/>
        <v>0.7177157689811811</v>
      </c>
      <c r="J30" s="36"/>
      <c r="L30" s="36">
        <f t="shared" si="3"/>
        <v>450</v>
      </c>
      <c r="M30" s="54"/>
      <c r="N30" s="361"/>
      <c r="O30" s="36"/>
      <c r="Q30" s="51"/>
    </row>
    <row r="31" spans="1:17" ht="12.75">
      <c r="A31" s="79" t="s">
        <v>115</v>
      </c>
      <c r="B31" s="174">
        <f>SUM('[1]augusti'!$B$37)</f>
        <v>113</v>
      </c>
      <c r="C31" s="67">
        <v>250</v>
      </c>
      <c r="D31" s="67">
        <v>113</v>
      </c>
      <c r="E31" s="183">
        <f>B31/C31</f>
        <v>0.452</v>
      </c>
      <c r="F31" s="297">
        <v>151</v>
      </c>
      <c r="G31" s="305"/>
      <c r="H31" s="306" t="e">
        <f t="shared" si="4"/>
        <v>#DIV/0!</v>
      </c>
      <c r="I31" s="324">
        <f t="shared" si="1"/>
        <v>0.7483443708609272</v>
      </c>
      <c r="J31" s="36"/>
      <c r="L31" s="36"/>
      <c r="M31" s="54"/>
      <c r="N31" s="361"/>
      <c r="O31" s="36"/>
      <c r="Q31" s="51"/>
    </row>
    <row r="32" spans="1:17" ht="12.75">
      <c r="A32" s="79" t="s">
        <v>27</v>
      </c>
      <c r="B32" s="174">
        <f>SUM('[1]augusti'!$B$26)</f>
        <v>0</v>
      </c>
      <c r="C32" s="67">
        <v>250</v>
      </c>
      <c r="D32" s="67">
        <v>215</v>
      </c>
      <c r="E32" s="183">
        <f aca="true" t="shared" si="5" ref="E32:E42">B32/C32</f>
        <v>0</v>
      </c>
      <c r="F32" s="302">
        <v>110</v>
      </c>
      <c r="G32" s="305">
        <v>250</v>
      </c>
      <c r="H32" s="306">
        <f t="shared" si="4"/>
        <v>0.44</v>
      </c>
      <c r="I32" s="324">
        <f t="shared" si="1"/>
        <v>0</v>
      </c>
      <c r="J32" s="36">
        <f aca="true" t="shared" si="6" ref="J32:J40">B32-F32</f>
        <v>-110</v>
      </c>
      <c r="K32" s="37">
        <f t="shared" si="2"/>
        <v>0.86</v>
      </c>
      <c r="L32" s="36">
        <f t="shared" si="3"/>
        <v>-35</v>
      </c>
      <c r="M32" s="54"/>
      <c r="N32" s="361"/>
      <c r="O32" s="36"/>
      <c r="Q32" s="51"/>
    </row>
    <row r="33" spans="1:17" ht="12.75">
      <c r="A33" s="79" t="s">
        <v>70</v>
      </c>
      <c r="B33" s="174">
        <f>SUM('[1]augusti'!$B$25+'[1]augusti'!$B$24)</f>
        <v>174</v>
      </c>
      <c r="C33" s="67">
        <v>300</v>
      </c>
      <c r="D33" s="67">
        <v>350</v>
      </c>
      <c r="E33" s="183">
        <f t="shared" si="5"/>
        <v>0.58</v>
      </c>
      <c r="F33" s="302">
        <v>198</v>
      </c>
      <c r="G33" s="305">
        <v>290</v>
      </c>
      <c r="H33" s="306">
        <f t="shared" si="4"/>
        <v>0.6827586206896552</v>
      </c>
      <c r="I33" s="324">
        <f t="shared" si="1"/>
        <v>0.8787878787878788</v>
      </c>
      <c r="J33" s="36">
        <f t="shared" si="6"/>
        <v>-24</v>
      </c>
      <c r="K33" s="37">
        <f t="shared" si="2"/>
        <v>1.1666666666666667</v>
      </c>
      <c r="L33" s="36">
        <f t="shared" si="3"/>
        <v>50</v>
      </c>
      <c r="M33" s="54"/>
      <c r="N33" s="361"/>
      <c r="O33" s="36"/>
      <c r="Q33" s="51"/>
    </row>
    <row r="34" spans="1:17" ht="12.75">
      <c r="A34" s="79" t="s">
        <v>76</v>
      </c>
      <c r="B34" s="174">
        <f>SUM('[1]augusti'!$B$13)</f>
        <v>2010</v>
      </c>
      <c r="C34" s="67">
        <v>3500</v>
      </c>
      <c r="D34" s="67">
        <v>3400</v>
      </c>
      <c r="E34" s="183">
        <f t="shared" si="5"/>
        <v>0.5742857142857143</v>
      </c>
      <c r="F34" s="302">
        <v>2053</v>
      </c>
      <c r="G34" s="305">
        <v>3000</v>
      </c>
      <c r="H34" s="306">
        <f t="shared" si="4"/>
        <v>0.6843333333333333</v>
      </c>
      <c r="I34" s="324">
        <f t="shared" si="1"/>
        <v>0.9790550414028252</v>
      </c>
      <c r="J34" s="36">
        <f t="shared" si="6"/>
        <v>-43</v>
      </c>
      <c r="K34" s="37">
        <f t="shared" si="2"/>
        <v>0.9714285714285714</v>
      </c>
      <c r="L34" s="36">
        <f t="shared" si="3"/>
        <v>-100</v>
      </c>
      <c r="M34" s="54"/>
      <c r="N34" s="361"/>
      <c r="O34" s="36"/>
      <c r="Q34" s="51"/>
    </row>
    <row r="35" spans="1:17" ht="12.75">
      <c r="A35" s="79" t="s">
        <v>72</v>
      </c>
      <c r="B35" s="174">
        <f>SUM('[1]augusti'!$B$12+'[1]augusti'!$B$16)</f>
        <v>13352</v>
      </c>
      <c r="C35" s="67">
        <v>22130</v>
      </c>
      <c r="D35" s="67">
        <v>21460</v>
      </c>
      <c r="E35" s="183">
        <f t="shared" si="5"/>
        <v>0.6033438770899232</v>
      </c>
      <c r="F35" s="302">
        <v>10699</v>
      </c>
      <c r="G35" s="305">
        <v>16555</v>
      </c>
      <c r="H35" s="306">
        <f t="shared" si="4"/>
        <v>0.6462700090607068</v>
      </c>
      <c r="I35" s="324">
        <f t="shared" si="1"/>
        <v>1.2479670997289467</v>
      </c>
      <c r="J35" s="36">
        <f t="shared" si="6"/>
        <v>2653</v>
      </c>
      <c r="K35" s="37">
        <f t="shared" si="2"/>
        <v>0.9697243560777226</v>
      </c>
      <c r="L35" s="36">
        <f t="shared" si="3"/>
        <v>-670</v>
      </c>
      <c r="M35" s="54"/>
      <c r="N35" s="361"/>
      <c r="O35" s="36"/>
      <c r="Q35" s="51"/>
    </row>
    <row r="36" spans="1:17" ht="12.75">
      <c r="A36" s="79" t="s">
        <v>105</v>
      </c>
      <c r="B36" s="174">
        <f>SUM('[1]augusti'!$B$15+'[1]augusti'!$B$17+'[1]augusti'!$B$18+'[1]augusti'!$B$21+'[1]augusti'!$B$32+'[1]augusti'!$B$33+'[1]augusti'!$B$20)</f>
        <v>763</v>
      </c>
      <c r="C36" s="67">
        <v>1050</v>
      </c>
      <c r="D36" s="67">
        <v>1250</v>
      </c>
      <c r="E36" s="183">
        <f t="shared" si="5"/>
        <v>0.7266666666666667</v>
      </c>
      <c r="F36" s="302">
        <v>520</v>
      </c>
      <c r="G36" s="305">
        <v>1300</v>
      </c>
      <c r="H36" s="306">
        <f t="shared" si="4"/>
        <v>0.4</v>
      </c>
      <c r="I36" s="324">
        <f t="shared" si="1"/>
        <v>1.4673076923076922</v>
      </c>
      <c r="J36" s="36">
        <f t="shared" si="6"/>
        <v>243</v>
      </c>
      <c r="K36" s="37">
        <f t="shared" si="2"/>
        <v>1.1904761904761905</v>
      </c>
      <c r="L36" s="36">
        <f t="shared" si="3"/>
        <v>200</v>
      </c>
      <c r="M36" s="54"/>
      <c r="N36" s="361"/>
      <c r="O36" s="36"/>
      <c r="P36" s="52"/>
      <c r="Q36" s="51"/>
    </row>
    <row r="37" spans="1:17" ht="12.75">
      <c r="A37" s="79" t="s">
        <v>28</v>
      </c>
      <c r="B37" s="174">
        <f>SUM('[1]augusti'!$B$22)</f>
        <v>0</v>
      </c>
      <c r="C37" s="67">
        <v>5110</v>
      </c>
      <c r="D37" s="67">
        <v>7620</v>
      </c>
      <c r="E37" s="183">
        <f t="shared" si="5"/>
        <v>0</v>
      </c>
      <c r="F37" s="302">
        <v>0</v>
      </c>
      <c r="G37" s="305">
        <v>3940</v>
      </c>
      <c r="H37" s="306">
        <f t="shared" si="4"/>
        <v>0</v>
      </c>
      <c r="I37" s="324" t="e">
        <f t="shared" si="1"/>
        <v>#DIV/0!</v>
      </c>
      <c r="J37" s="36">
        <f t="shared" si="6"/>
        <v>0</v>
      </c>
      <c r="K37" s="37">
        <f t="shared" si="2"/>
        <v>1.4911937377690803</v>
      </c>
      <c r="L37" s="36">
        <f t="shared" si="3"/>
        <v>2510</v>
      </c>
      <c r="M37" s="54"/>
      <c r="N37" s="361"/>
      <c r="O37" s="36"/>
      <c r="P37" s="52"/>
      <c r="Q37" s="51"/>
    </row>
    <row r="38" spans="1:15" ht="12.75">
      <c r="A38" s="79" t="s">
        <v>29</v>
      </c>
      <c r="B38" s="174">
        <f>SUM('[1]augusti'!$B$23)</f>
        <v>0</v>
      </c>
      <c r="C38" s="67">
        <v>330</v>
      </c>
      <c r="D38" s="67">
        <v>344</v>
      </c>
      <c r="E38" s="183">
        <f t="shared" si="5"/>
        <v>0</v>
      </c>
      <c r="F38" s="302">
        <v>0</v>
      </c>
      <c r="G38" s="305">
        <v>270</v>
      </c>
      <c r="H38" s="306">
        <f t="shared" si="4"/>
        <v>0</v>
      </c>
      <c r="I38" s="324" t="e">
        <f t="shared" si="1"/>
        <v>#DIV/0!</v>
      </c>
      <c r="J38" s="36">
        <f t="shared" si="6"/>
        <v>0</v>
      </c>
      <c r="K38" s="37">
        <f t="shared" si="2"/>
        <v>1.0424242424242425</v>
      </c>
      <c r="L38" s="36">
        <f t="shared" si="3"/>
        <v>14</v>
      </c>
      <c r="M38" s="54"/>
      <c r="N38" s="361"/>
      <c r="O38" s="36"/>
    </row>
    <row r="39" spans="1:15" ht="12.75">
      <c r="A39" s="79" t="s">
        <v>54</v>
      </c>
      <c r="B39" s="174">
        <f>SUM('[1]augusti'!$B$14)</f>
        <v>1152</v>
      </c>
      <c r="C39" s="67">
        <v>1600</v>
      </c>
      <c r="D39" s="67">
        <v>1200</v>
      </c>
      <c r="E39" s="183">
        <f t="shared" si="5"/>
        <v>0.72</v>
      </c>
      <c r="F39" s="302">
        <v>1369</v>
      </c>
      <c r="G39" s="305">
        <v>1600</v>
      </c>
      <c r="H39" s="306">
        <f t="shared" si="4"/>
        <v>0.855625</v>
      </c>
      <c r="I39" s="324">
        <f t="shared" si="1"/>
        <v>0.8414901387874361</v>
      </c>
      <c r="J39" s="36">
        <f t="shared" si="6"/>
        <v>-217</v>
      </c>
      <c r="K39" s="37">
        <f t="shared" si="2"/>
        <v>0.75</v>
      </c>
      <c r="L39" s="36">
        <f t="shared" si="3"/>
        <v>-400</v>
      </c>
      <c r="M39" s="54"/>
      <c r="N39" s="361"/>
      <c r="O39" s="36"/>
    </row>
    <row r="40" spans="1:15" ht="12.75">
      <c r="A40" s="79" t="s">
        <v>117</v>
      </c>
      <c r="B40" s="174">
        <f>SUM('[1]augusti'!$B$19)</f>
        <v>1076</v>
      </c>
      <c r="C40" s="67">
        <v>750</v>
      </c>
      <c r="D40" s="67">
        <v>1700</v>
      </c>
      <c r="E40" s="183">
        <f t="shared" si="5"/>
        <v>1.4346666666666668</v>
      </c>
      <c r="F40" s="302">
        <v>588</v>
      </c>
      <c r="G40" s="305">
        <v>700</v>
      </c>
      <c r="H40" s="306">
        <f t="shared" si="4"/>
        <v>0.84</v>
      </c>
      <c r="I40" s="324">
        <f t="shared" si="1"/>
        <v>1.8299319727891157</v>
      </c>
      <c r="J40" s="36">
        <f t="shared" si="6"/>
        <v>488</v>
      </c>
      <c r="K40" s="37">
        <f t="shared" si="2"/>
        <v>2.2666666666666666</v>
      </c>
      <c r="L40" s="36">
        <f t="shared" si="3"/>
        <v>950</v>
      </c>
      <c r="M40" s="54"/>
      <c r="N40" s="361"/>
      <c r="O40" s="36"/>
    </row>
    <row r="41" spans="1:15" s="61" customFormat="1" ht="12.75">
      <c r="A41" s="80" t="s">
        <v>73</v>
      </c>
      <c r="B41" s="189">
        <f>SUM('[1]augusti'!$B$39)</f>
        <v>-2164</v>
      </c>
      <c r="C41" s="190">
        <v>-4170</v>
      </c>
      <c r="D41" s="190">
        <f>SUM(D28+D29+D32+D33+D34+D35+D36+D37+D38+D39+D40)*11%*-1</f>
        <v>-4442.79</v>
      </c>
      <c r="E41" s="191">
        <f t="shared" si="5"/>
        <v>0.5189448441247002</v>
      </c>
      <c r="F41" s="315">
        <v>-1880</v>
      </c>
      <c r="G41" s="316">
        <v>-3370</v>
      </c>
      <c r="H41" s="309">
        <f t="shared" si="4"/>
        <v>0.5578635014836796</v>
      </c>
      <c r="I41" s="325">
        <f t="shared" si="1"/>
        <v>1.151063829787234</v>
      </c>
      <c r="J41" s="59">
        <f aca="true" t="shared" si="7" ref="J41:J48">B41-F41</f>
        <v>-284</v>
      </c>
      <c r="K41" s="60">
        <f t="shared" si="2"/>
        <v>1.0654172661870505</v>
      </c>
      <c r="L41" s="36">
        <f t="shared" si="3"/>
        <v>-272.78999999999996</v>
      </c>
      <c r="M41" s="54"/>
      <c r="N41" s="361"/>
      <c r="O41" s="36"/>
    </row>
    <row r="42" spans="1:15" ht="12.75">
      <c r="A42" s="78" t="s">
        <v>74</v>
      </c>
      <c r="B42" s="175">
        <f>SUM(B28:B41)</f>
        <v>18721</v>
      </c>
      <c r="C42" s="179">
        <f>SUM(C28:C41)</f>
        <v>35100</v>
      </c>
      <c r="D42" s="179">
        <f>SUM(D28:D41)</f>
        <v>37659.21</v>
      </c>
      <c r="E42" s="184">
        <f t="shared" si="5"/>
        <v>0.5333618233618234</v>
      </c>
      <c r="F42" s="310">
        <f>SUM(F28:F41)</f>
        <v>17305</v>
      </c>
      <c r="G42" s="314">
        <f>SUM(G28:G41)</f>
        <v>29185</v>
      </c>
      <c r="H42" s="312">
        <f>+F42/G42</f>
        <v>0.5929415795785506</v>
      </c>
      <c r="I42" s="322">
        <f t="shared" si="1"/>
        <v>1.0818260618318405</v>
      </c>
      <c r="J42" s="36">
        <f t="shared" si="7"/>
        <v>1416</v>
      </c>
      <c r="K42" s="37">
        <f t="shared" si="2"/>
        <v>1.0729119658119657</v>
      </c>
      <c r="L42" s="36">
        <f t="shared" si="3"/>
        <v>2559.209999999999</v>
      </c>
      <c r="M42" s="54"/>
      <c r="N42" s="361"/>
      <c r="O42" s="36"/>
    </row>
    <row r="43" spans="1:15" ht="12.75">
      <c r="A43" s="76" t="s">
        <v>30</v>
      </c>
      <c r="B43" s="174"/>
      <c r="C43" s="67"/>
      <c r="D43" s="67"/>
      <c r="E43" s="183"/>
      <c r="F43" s="302"/>
      <c r="G43" s="313"/>
      <c r="H43" s="306"/>
      <c r="I43" s="324"/>
      <c r="J43" s="36">
        <f t="shared" si="7"/>
        <v>0</v>
      </c>
      <c r="K43" s="37" t="e">
        <f t="shared" si="2"/>
        <v>#DIV/0!</v>
      </c>
      <c r="L43" s="36">
        <f t="shared" si="3"/>
        <v>0</v>
      </c>
      <c r="M43" s="54"/>
      <c r="N43" s="361"/>
      <c r="O43" s="36"/>
    </row>
    <row r="44" spans="1:15" ht="12.75">
      <c r="A44" s="74" t="s">
        <v>31</v>
      </c>
      <c r="B44" s="174">
        <f>SUM('[1]augusti'!$B$61+'[1]augusti'!$B$62)</f>
        <v>2</v>
      </c>
      <c r="C44" s="180">
        <v>200</v>
      </c>
      <c r="D44" s="180">
        <v>220</v>
      </c>
      <c r="E44" s="183">
        <f>B44/C44</f>
        <v>0.01</v>
      </c>
      <c r="F44" s="302">
        <v>0</v>
      </c>
      <c r="G44" s="317">
        <v>250</v>
      </c>
      <c r="H44" s="306">
        <f>+F44/G44</f>
        <v>0</v>
      </c>
      <c r="I44" s="324" t="e">
        <f t="shared" si="1"/>
        <v>#DIV/0!</v>
      </c>
      <c r="J44" s="36">
        <f t="shared" si="7"/>
        <v>2</v>
      </c>
      <c r="K44" s="37">
        <f t="shared" si="2"/>
        <v>1.1</v>
      </c>
      <c r="L44" s="36">
        <f t="shared" si="3"/>
        <v>20</v>
      </c>
      <c r="M44" s="54"/>
      <c r="N44" s="361"/>
      <c r="O44" s="36"/>
    </row>
    <row r="45" spans="1:15" ht="12.75">
      <c r="A45" s="74" t="s">
        <v>6</v>
      </c>
      <c r="B45" s="339">
        <f>SUM('[1]augusti'!$B$58+'[1]augusti'!$B$59+'[1]augusti'!$B$60)</f>
        <v>12</v>
      </c>
      <c r="C45" s="192">
        <v>30</v>
      </c>
      <c r="D45" s="192">
        <v>10</v>
      </c>
      <c r="E45" s="188">
        <f>B45/C45</f>
        <v>0.4</v>
      </c>
      <c r="F45" s="307">
        <v>15</v>
      </c>
      <c r="G45" s="308">
        <v>20</v>
      </c>
      <c r="H45" s="309">
        <f>F45/G45</f>
        <v>0.75</v>
      </c>
      <c r="I45" s="325">
        <f t="shared" si="1"/>
        <v>0.8</v>
      </c>
      <c r="J45" s="36">
        <f t="shared" si="7"/>
        <v>-3</v>
      </c>
      <c r="K45" s="37">
        <f t="shared" si="2"/>
        <v>0.3333333333333333</v>
      </c>
      <c r="L45" s="36">
        <f t="shared" si="3"/>
        <v>-20</v>
      </c>
      <c r="M45" s="54"/>
      <c r="N45" s="361"/>
      <c r="O45" s="36"/>
    </row>
    <row r="46" spans="1:15" ht="12.75">
      <c r="A46" s="78" t="s">
        <v>75</v>
      </c>
      <c r="B46" s="175">
        <f>SUM(B44:B45)</f>
        <v>14</v>
      </c>
      <c r="C46" s="64">
        <f>SUM(C44:C45)</f>
        <v>230</v>
      </c>
      <c r="D46" s="64">
        <f>SUM(D44:D45)</f>
        <v>230</v>
      </c>
      <c r="E46" s="184">
        <f>B46/C46</f>
        <v>0.06086956521739131</v>
      </c>
      <c r="F46" s="310">
        <f>SUM(F44:F45)</f>
        <v>15</v>
      </c>
      <c r="G46" s="314">
        <f>SUM(G44:G45)</f>
        <v>270</v>
      </c>
      <c r="H46" s="312">
        <f>+F46/G46</f>
        <v>0.05555555555555555</v>
      </c>
      <c r="I46" s="322">
        <f t="shared" si="1"/>
        <v>0.9333333333333333</v>
      </c>
      <c r="J46" s="36">
        <f t="shared" si="7"/>
        <v>-1</v>
      </c>
      <c r="K46" s="37">
        <f t="shared" si="2"/>
        <v>1</v>
      </c>
      <c r="L46" s="36">
        <f t="shared" si="3"/>
        <v>0</v>
      </c>
      <c r="M46" s="54"/>
      <c r="N46" s="361"/>
      <c r="O46" s="36"/>
    </row>
    <row r="47" spans="1:15" ht="12.75">
      <c r="A47" s="74"/>
      <c r="B47" s="174"/>
      <c r="C47" s="67"/>
      <c r="D47" s="67"/>
      <c r="E47" s="183"/>
      <c r="F47" s="302"/>
      <c r="G47" s="313"/>
      <c r="H47" s="306"/>
      <c r="I47" s="324"/>
      <c r="J47" s="36">
        <f t="shared" si="7"/>
        <v>0</v>
      </c>
      <c r="K47" s="37" t="e">
        <f t="shared" si="2"/>
        <v>#DIV/0!</v>
      </c>
      <c r="L47" s="36">
        <f t="shared" si="3"/>
        <v>0</v>
      </c>
      <c r="M47" s="54"/>
      <c r="N47" s="361"/>
      <c r="O47" s="36"/>
    </row>
    <row r="48" spans="1:15" ht="12.75">
      <c r="A48" s="81" t="s">
        <v>7</v>
      </c>
      <c r="B48" s="177">
        <f>B12+B19+B24+B42+B46</f>
        <v>30735</v>
      </c>
      <c r="C48" s="181">
        <f>SUM(C12+C19+C24+C42+C46)</f>
        <v>52840</v>
      </c>
      <c r="D48" s="181">
        <f>SUM(D12+D19+D24+D42+D46)</f>
        <v>54674.21</v>
      </c>
      <c r="E48" s="185">
        <f>B48/C48</f>
        <v>0.58166161998486</v>
      </c>
      <c r="F48" s="181">
        <f>SUM(F12+F19+F24+F42+F46)</f>
        <v>28416</v>
      </c>
      <c r="G48" s="318">
        <f>G12+G19+G24+G42+G46</f>
        <v>45025</v>
      </c>
      <c r="H48" s="319">
        <f>+F48/G48</f>
        <v>0.6311160466407552</v>
      </c>
      <c r="I48" s="323">
        <f t="shared" si="1"/>
        <v>1.0816089527027026</v>
      </c>
      <c r="J48" s="36">
        <f t="shared" si="7"/>
        <v>2319</v>
      </c>
      <c r="K48" s="37">
        <f t="shared" si="2"/>
        <v>1.034712528387585</v>
      </c>
      <c r="L48" s="36">
        <f t="shared" si="3"/>
        <v>1834.2099999999991</v>
      </c>
      <c r="M48" s="54"/>
      <c r="N48" s="361"/>
      <c r="O48" s="36"/>
    </row>
    <row r="49" spans="1:13" ht="12.75">
      <c r="A49" s="82"/>
      <c r="B49" s="83"/>
      <c r="C49" s="83"/>
      <c r="D49" s="83"/>
      <c r="E49" s="74"/>
      <c r="F49" s="85"/>
      <c r="G49" s="77"/>
      <c r="H49" s="84"/>
      <c r="I49" s="74"/>
      <c r="M49" s="205"/>
    </row>
    <row r="50" spans="1:13" ht="12.75">
      <c r="A50" s="88" t="s">
        <v>32</v>
      </c>
      <c r="B50" s="89" t="s">
        <v>33</v>
      </c>
      <c r="C50" s="90" t="s">
        <v>34</v>
      </c>
      <c r="D50" s="90" t="s">
        <v>35</v>
      </c>
      <c r="E50" s="90" t="s">
        <v>34</v>
      </c>
      <c r="F50" s="296"/>
      <c r="G50" s="77"/>
      <c r="H50" s="84"/>
      <c r="I50" s="74"/>
      <c r="K50" s="54"/>
      <c r="L50" s="43"/>
      <c r="M50" s="205"/>
    </row>
    <row r="51" spans="1:13" ht="12.75">
      <c r="A51" s="225">
        <v>35063</v>
      </c>
      <c r="B51" s="226">
        <v>12026</v>
      </c>
      <c r="C51" s="214">
        <v>11086</v>
      </c>
      <c r="D51" s="214">
        <v>740</v>
      </c>
      <c r="E51" s="204">
        <v>1915</v>
      </c>
      <c r="F51" s="197"/>
      <c r="G51" s="77"/>
      <c r="H51" s="84"/>
      <c r="I51" s="74"/>
      <c r="K51" s="54"/>
      <c r="L51" s="43"/>
      <c r="M51" s="205"/>
    </row>
    <row r="52" spans="1:13" ht="12.75">
      <c r="A52" s="203">
        <v>35429</v>
      </c>
      <c r="B52" s="197">
        <v>9115</v>
      </c>
      <c r="C52" s="202">
        <v>11062</v>
      </c>
      <c r="D52" s="202">
        <v>651</v>
      </c>
      <c r="E52" s="198"/>
      <c r="F52" s="197"/>
      <c r="G52" s="77"/>
      <c r="H52" s="77"/>
      <c r="I52" s="74"/>
      <c r="K52" s="54"/>
      <c r="L52" s="43"/>
      <c r="M52" s="205"/>
    </row>
    <row r="53" spans="1:13" ht="12.75">
      <c r="A53" s="203">
        <v>35794</v>
      </c>
      <c r="B53" s="197">
        <v>7600</v>
      </c>
      <c r="C53" s="202">
        <v>10375</v>
      </c>
      <c r="D53" s="202">
        <v>525</v>
      </c>
      <c r="E53" s="198"/>
      <c r="F53" s="197"/>
      <c r="G53" s="77"/>
      <c r="H53" s="91"/>
      <c r="I53" s="77"/>
      <c r="K53" s="54"/>
      <c r="L53" s="43"/>
      <c r="M53" s="205"/>
    </row>
    <row r="54" spans="1:13" ht="12.75" customHeight="1">
      <c r="A54" s="203">
        <v>36159</v>
      </c>
      <c r="B54" s="199">
        <v>4081</v>
      </c>
      <c r="C54" s="215">
        <v>9650</v>
      </c>
      <c r="D54" s="215">
        <v>247</v>
      </c>
      <c r="E54" s="201"/>
      <c r="F54" s="199"/>
      <c r="G54" s="77"/>
      <c r="H54" s="92"/>
      <c r="I54" s="93"/>
      <c r="M54" s="205"/>
    </row>
    <row r="55" spans="1:13" ht="12.75">
      <c r="A55" s="203">
        <v>36524</v>
      </c>
      <c r="B55" s="197">
        <v>5078</v>
      </c>
      <c r="C55" s="202">
        <v>9197</v>
      </c>
      <c r="D55" s="202">
        <v>295</v>
      </c>
      <c r="E55" s="198"/>
      <c r="F55" s="197"/>
      <c r="G55" s="77"/>
      <c r="H55" s="91"/>
      <c r="I55" s="77"/>
      <c r="K55" s="54"/>
      <c r="L55" s="43"/>
      <c r="M55" s="205"/>
    </row>
    <row r="56" spans="1:13" ht="12.75" hidden="1">
      <c r="A56" s="203">
        <v>36768</v>
      </c>
      <c r="B56" s="197">
        <v>5217</v>
      </c>
      <c r="C56" s="202">
        <v>8908</v>
      </c>
      <c r="D56" s="202">
        <v>264</v>
      </c>
      <c r="E56" s="198"/>
      <c r="F56" s="197"/>
      <c r="G56" s="77"/>
      <c r="H56" s="91"/>
      <c r="I56" s="77"/>
      <c r="K56" s="54"/>
      <c r="L56" s="43"/>
      <c r="M56" s="205"/>
    </row>
    <row r="57" spans="1:13" ht="12.75" hidden="1">
      <c r="A57" s="203">
        <v>36798</v>
      </c>
      <c r="B57" s="197">
        <v>5323</v>
      </c>
      <c r="C57" s="202">
        <v>8911</v>
      </c>
      <c r="D57" s="202">
        <v>269</v>
      </c>
      <c r="E57" s="198"/>
      <c r="F57" s="199"/>
      <c r="G57" s="77"/>
      <c r="H57" s="91"/>
      <c r="I57" s="77"/>
      <c r="K57" s="54"/>
      <c r="L57" s="43"/>
      <c r="M57" s="205"/>
    </row>
    <row r="58" spans="1:13" ht="12.75" hidden="1">
      <c r="A58" s="203">
        <v>36829</v>
      </c>
      <c r="B58" s="197">
        <v>5331</v>
      </c>
      <c r="C58" s="202">
        <v>8932</v>
      </c>
      <c r="D58" s="202">
        <v>269</v>
      </c>
      <c r="E58" s="198"/>
      <c r="F58" s="85"/>
      <c r="G58" s="77"/>
      <c r="H58" s="91"/>
      <c r="I58" s="77"/>
      <c r="K58" s="54"/>
      <c r="L58" s="43"/>
      <c r="M58" s="205"/>
    </row>
    <row r="59" spans="1:13" ht="12.75" hidden="1">
      <c r="A59" s="203">
        <v>36859</v>
      </c>
      <c r="B59" s="197">
        <v>5595</v>
      </c>
      <c r="C59" s="202">
        <v>8909</v>
      </c>
      <c r="D59" s="202">
        <v>282</v>
      </c>
      <c r="E59" s="198"/>
      <c r="F59" s="85"/>
      <c r="G59" s="77"/>
      <c r="H59" s="91"/>
      <c r="I59" s="77"/>
      <c r="K59" s="54"/>
      <c r="L59" s="43"/>
      <c r="M59" s="205"/>
    </row>
    <row r="60" spans="1:13" ht="12.75">
      <c r="A60" s="203">
        <v>36890</v>
      </c>
      <c r="B60" s="197">
        <v>5719</v>
      </c>
      <c r="C60" s="202">
        <v>8872</v>
      </c>
      <c r="D60" s="202">
        <v>300</v>
      </c>
      <c r="E60" s="198"/>
      <c r="F60" s="85"/>
      <c r="G60" s="77"/>
      <c r="H60" s="91"/>
      <c r="I60" s="77"/>
      <c r="K60" s="54"/>
      <c r="L60" s="43"/>
      <c r="M60" s="205"/>
    </row>
    <row r="61" spans="1:13" ht="12.75" hidden="1">
      <c r="A61" s="203">
        <v>36921</v>
      </c>
      <c r="B61" s="197">
        <v>5489</v>
      </c>
      <c r="C61" s="202">
        <v>8837</v>
      </c>
      <c r="D61" s="202">
        <v>274</v>
      </c>
      <c r="E61" s="198"/>
      <c r="F61" s="295"/>
      <c r="G61" s="77"/>
      <c r="H61" s="91"/>
      <c r="I61" s="77"/>
      <c r="K61" s="54"/>
      <c r="L61" s="43"/>
      <c r="M61" s="205"/>
    </row>
    <row r="62" spans="1:13" ht="12.75" hidden="1">
      <c r="A62" s="203">
        <v>36949</v>
      </c>
      <c r="B62" s="197">
        <v>5676</v>
      </c>
      <c r="C62" s="202">
        <v>8776</v>
      </c>
      <c r="D62" s="202">
        <v>282</v>
      </c>
      <c r="E62" s="198"/>
      <c r="G62" s="77"/>
      <c r="H62" s="91"/>
      <c r="I62" s="77"/>
      <c r="K62" s="54"/>
      <c r="L62" s="43"/>
      <c r="M62" s="205"/>
    </row>
    <row r="63" spans="1:13" ht="12.75" hidden="1">
      <c r="A63" s="203">
        <v>36980</v>
      </c>
      <c r="B63" s="197">
        <v>5670</v>
      </c>
      <c r="C63" s="202">
        <v>8729</v>
      </c>
      <c r="D63" s="202">
        <v>282</v>
      </c>
      <c r="E63" s="198"/>
      <c r="G63" s="77"/>
      <c r="H63" s="91"/>
      <c r="I63" s="77"/>
      <c r="K63" s="54"/>
      <c r="L63" s="43"/>
      <c r="M63" s="205"/>
    </row>
    <row r="64" spans="1:13" ht="12.75" hidden="1">
      <c r="A64" s="203">
        <v>37010</v>
      </c>
      <c r="B64" s="197">
        <v>5628</v>
      </c>
      <c r="C64" s="202">
        <v>8683</v>
      </c>
      <c r="D64" s="202">
        <v>276</v>
      </c>
      <c r="E64" s="198"/>
      <c r="G64" s="77"/>
      <c r="H64" s="91"/>
      <c r="I64" s="77"/>
      <c r="K64" s="54"/>
      <c r="L64" s="43"/>
      <c r="M64" s="205"/>
    </row>
    <row r="65" spans="1:13" ht="12.75" hidden="1">
      <c r="A65" s="203">
        <v>37041</v>
      </c>
      <c r="B65" s="197">
        <v>5921</v>
      </c>
      <c r="C65" s="202">
        <v>8664</v>
      </c>
      <c r="D65" s="202">
        <v>289</v>
      </c>
      <c r="E65" s="198"/>
      <c r="G65" s="77"/>
      <c r="H65" s="91"/>
      <c r="I65" s="77"/>
      <c r="K65" s="54"/>
      <c r="L65" s="43"/>
      <c r="M65" s="205"/>
    </row>
    <row r="66" spans="1:13" ht="12.75" hidden="1">
      <c r="A66" s="203">
        <v>37102</v>
      </c>
      <c r="B66" s="199">
        <v>6338</v>
      </c>
      <c r="C66" s="215">
        <v>8601</v>
      </c>
      <c r="D66" s="215" t="s">
        <v>110</v>
      </c>
      <c r="E66" s="200"/>
      <c r="G66" s="77"/>
      <c r="H66" s="94"/>
      <c r="I66" s="74"/>
      <c r="M66" s="205"/>
    </row>
    <row r="67" spans="1:13" ht="12.75" hidden="1">
      <c r="A67" s="326">
        <v>37133</v>
      </c>
      <c r="B67" s="327">
        <v>6173</v>
      </c>
      <c r="C67" s="328">
        <v>8551</v>
      </c>
      <c r="D67" s="328">
        <v>291</v>
      </c>
      <c r="E67" s="329"/>
      <c r="G67" s="77"/>
      <c r="H67" s="94"/>
      <c r="I67" s="74"/>
      <c r="M67" s="205"/>
    </row>
    <row r="68" spans="1:13" ht="12.75" hidden="1">
      <c r="A68" s="326">
        <v>37163</v>
      </c>
      <c r="B68" s="327">
        <v>6480</v>
      </c>
      <c r="C68" s="328">
        <v>8497</v>
      </c>
      <c r="D68" s="328">
        <v>304</v>
      </c>
      <c r="E68" s="329"/>
      <c r="G68" s="77"/>
      <c r="H68" s="94"/>
      <c r="I68" s="74"/>
      <c r="M68" s="205"/>
    </row>
    <row r="69" spans="1:13" ht="12.75" hidden="1">
      <c r="A69" s="326">
        <v>37194</v>
      </c>
      <c r="B69" s="327">
        <v>6343</v>
      </c>
      <c r="C69" s="328">
        <v>8454</v>
      </c>
      <c r="D69" s="328">
        <v>296</v>
      </c>
      <c r="E69" s="329"/>
      <c r="G69" s="77"/>
      <c r="H69" s="94"/>
      <c r="I69" s="74"/>
      <c r="M69" s="205"/>
    </row>
    <row r="70" spans="1:13" ht="12.75" hidden="1">
      <c r="A70" s="326">
        <v>37224</v>
      </c>
      <c r="B70" s="327">
        <v>6567</v>
      </c>
      <c r="C70" s="328">
        <v>8410</v>
      </c>
      <c r="D70" s="328">
        <v>303</v>
      </c>
      <c r="E70" s="329"/>
      <c r="G70" s="77"/>
      <c r="H70" s="94"/>
      <c r="I70" s="74"/>
      <c r="M70" s="205"/>
    </row>
    <row r="71" spans="1:14" s="38" customFormat="1" ht="12" customHeight="1">
      <c r="A71" s="206">
        <v>37255</v>
      </c>
      <c r="B71" s="66">
        <v>7024</v>
      </c>
      <c r="C71" s="558" t="s">
        <v>110</v>
      </c>
      <c r="D71" s="284">
        <v>338</v>
      </c>
      <c r="E71" s="335"/>
      <c r="F71" s="297"/>
      <c r="G71" s="39"/>
      <c r="H71" s="208"/>
      <c r="K71" s="20"/>
      <c r="M71" s="209"/>
      <c r="N71" s="333"/>
    </row>
    <row r="72" spans="1:14" s="38" customFormat="1" ht="12.75" customHeight="1" hidden="1">
      <c r="A72" s="206">
        <v>37286</v>
      </c>
      <c r="B72" s="66">
        <v>6697</v>
      </c>
      <c r="C72" s="216">
        <v>8291</v>
      </c>
      <c r="D72" s="216">
        <v>354</v>
      </c>
      <c r="E72" s="224"/>
      <c r="F72" s="297"/>
      <c r="G72" s="66"/>
      <c r="H72" s="92"/>
      <c r="I72" s="93"/>
      <c r="K72" s="20"/>
      <c r="M72" s="209"/>
      <c r="N72" s="333"/>
    </row>
    <row r="73" spans="1:14" s="38" customFormat="1" ht="12.75" customHeight="1" hidden="1">
      <c r="A73" s="206">
        <v>37314</v>
      </c>
      <c r="B73" s="66">
        <v>6933</v>
      </c>
      <c r="C73" s="216">
        <v>8214</v>
      </c>
      <c r="D73" s="216">
        <v>352</v>
      </c>
      <c r="E73" s="207"/>
      <c r="F73" s="297"/>
      <c r="G73" s="66"/>
      <c r="H73" s="87"/>
      <c r="I73" s="93"/>
      <c r="K73" s="20"/>
      <c r="M73" s="209"/>
      <c r="N73" s="333"/>
    </row>
    <row r="74" spans="1:14" s="38" customFormat="1" ht="12.75" customHeight="1" hidden="1">
      <c r="A74" s="341">
        <v>37345</v>
      </c>
      <c r="B74" s="86">
        <v>7246</v>
      </c>
      <c r="C74" s="336">
        <v>8139</v>
      </c>
      <c r="D74" s="348">
        <v>345</v>
      </c>
      <c r="E74" s="227"/>
      <c r="F74" s="297"/>
      <c r="G74" s="86"/>
      <c r="H74" s="87"/>
      <c r="I74" s="65"/>
      <c r="K74" s="20"/>
      <c r="M74" s="209"/>
      <c r="N74" s="333"/>
    </row>
    <row r="75" spans="1:13" ht="12.75" customHeight="1" hidden="1">
      <c r="A75" s="341">
        <v>37375</v>
      </c>
      <c r="B75" s="86">
        <v>7295</v>
      </c>
      <c r="C75" s="336">
        <v>8093</v>
      </c>
      <c r="D75" s="348">
        <v>343</v>
      </c>
      <c r="E75" s="227"/>
      <c r="G75" s="56"/>
      <c r="M75" s="205"/>
    </row>
    <row r="76" spans="1:13" ht="12.75" customHeight="1" hidden="1">
      <c r="A76" s="206">
        <v>37406</v>
      </c>
      <c r="B76" s="66">
        <v>6441</v>
      </c>
      <c r="C76" s="336">
        <v>8012</v>
      </c>
      <c r="D76" s="284">
        <v>337</v>
      </c>
      <c r="E76" s="335"/>
      <c r="G76" s="40"/>
      <c r="M76" s="205"/>
    </row>
    <row r="77" spans="1:13" ht="12.75" customHeight="1" hidden="1">
      <c r="A77" s="341">
        <v>37436</v>
      </c>
      <c r="B77" s="86">
        <v>6485</v>
      </c>
      <c r="C77" s="336">
        <v>7955</v>
      </c>
      <c r="D77" s="336">
        <v>330</v>
      </c>
      <c r="E77" s="227"/>
      <c r="M77" s="205"/>
    </row>
    <row r="78" spans="1:13" ht="12.75" customHeight="1" hidden="1">
      <c r="A78" s="358">
        <v>37467</v>
      </c>
      <c r="B78" s="355">
        <v>6419</v>
      </c>
      <c r="C78" s="356">
        <v>7898</v>
      </c>
      <c r="D78" s="356">
        <v>327</v>
      </c>
      <c r="E78" s="357"/>
      <c r="M78" s="205"/>
    </row>
    <row r="79" spans="1:13" ht="12.75" customHeight="1">
      <c r="A79" s="358">
        <v>37498</v>
      </c>
      <c r="B79" s="355">
        <v>6641</v>
      </c>
      <c r="C79" s="356">
        <v>7850</v>
      </c>
      <c r="D79" s="356">
        <v>323</v>
      </c>
      <c r="E79" s="357"/>
      <c r="M79" s="205"/>
    </row>
    <row r="80" spans="1:13" ht="12.75" customHeight="1" hidden="1">
      <c r="A80" s="341">
        <v>37528</v>
      </c>
      <c r="B80" s="86">
        <v>6957</v>
      </c>
      <c r="C80" s="336">
        <v>7796</v>
      </c>
      <c r="D80" s="336">
        <v>317</v>
      </c>
      <c r="E80" s="227"/>
      <c r="M80" s="205"/>
    </row>
    <row r="81" spans="1:13" ht="12.75" customHeight="1" hidden="1">
      <c r="A81" s="341">
        <v>37559</v>
      </c>
      <c r="B81" s="86">
        <v>7171</v>
      </c>
      <c r="C81" s="336">
        <v>7753</v>
      </c>
      <c r="D81" s="336">
        <v>325</v>
      </c>
      <c r="E81" s="336"/>
      <c r="M81" s="205"/>
    </row>
    <row r="82" spans="1:13" ht="12.75" customHeight="1" hidden="1">
      <c r="A82" s="341">
        <v>37589</v>
      </c>
      <c r="B82" s="86">
        <v>7051</v>
      </c>
      <c r="C82" s="336">
        <v>7721</v>
      </c>
      <c r="D82" s="336">
        <v>321</v>
      </c>
      <c r="E82" s="346"/>
      <c r="H82" s="57"/>
      <c r="M82" s="205"/>
    </row>
    <row r="83" spans="1:13" ht="12.75">
      <c r="A83" s="341">
        <v>37620</v>
      </c>
      <c r="B83" s="66">
        <v>7732</v>
      </c>
      <c r="C83" s="559" t="s">
        <v>110</v>
      </c>
      <c r="D83" s="216">
        <v>366</v>
      </c>
      <c r="E83" s="342"/>
      <c r="H83" s="57"/>
      <c r="M83" s="205"/>
    </row>
    <row r="84" spans="1:14" s="38" customFormat="1" ht="12.75" hidden="1">
      <c r="A84" s="341">
        <v>37651</v>
      </c>
      <c r="B84" s="66">
        <v>7524</v>
      </c>
      <c r="C84" s="216">
        <v>7633</v>
      </c>
      <c r="D84" s="216">
        <v>345</v>
      </c>
      <c r="E84" s="342"/>
      <c r="F84" s="295"/>
      <c r="G84" s="39"/>
      <c r="H84" s="343"/>
      <c r="K84" s="20"/>
      <c r="M84" s="209"/>
      <c r="N84" s="333"/>
    </row>
    <row r="85" spans="1:13" ht="12.75" hidden="1">
      <c r="A85" s="344">
        <v>37679</v>
      </c>
      <c r="B85" s="66">
        <v>7330</v>
      </c>
      <c r="C85" s="216">
        <v>7573</v>
      </c>
      <c r="D85" s="216">
        <v>336</v>
      </c>
      <c r="E85" s="342"/>
      <c r="H85" s="57"/>
      <c r="M85" s="205"/>
    </row>
    <row r="86" spans="1:13" ht="12.75" hidden="1">
      <c r="A86" s="341">
        <v>37710</v>
      </c>
      <c r="B86" s="86">
        <v>7638</v>
      </c>
      <c r="C86" s="336">
        <v>7525</v>
      </c>
      <c r="D86" s="336">
        <v>352</v>
      </c>
      <c r="E86" s="347"/>
      <c r="H86" s="57"/>
      <c r="M86" s="205"/>
    </row>
    <row r="87" spans="1:13" ht="12.75" hidden="1">
      <c r="A87" s="341">
        <v>37740</v>
      </c>
      <c r="B87" s="86">
        <v>8080</v>
      </c>
      <c r="C87" s="336">
        <v>7484</v>
      </c>
      <c r="D87" s="336">
        <v>371</v>
      </c>
      <c r="E87" s="347"/>
      <c r="H87" s="57"/>
      <c r="M87" s="205"/>
    </row>
    <row r="88" spans="1:13" ht="12.75" hidden="1">
      <c r="A88" s="341">
        <v>37771</v>
      </c>
      <c r="B88" s="86">
        <v>8234</v>
      </c>
      <c r="C88" s="336">
        <v>7425</v>
      </c>
      <c r="D88" s="359">
        <v>374</v>
      </c>
      <c r="E88" s="351"/>
      <c r="H88" s="57"/>
      <c r="M88" s="205"/>
    </row>
    <row r="89" spans="1:13" ht="12.75" hidden="1">
      <c r="A89" s="341">
        <v>37801</v>
      </c>
      <c r="B89" s="86">
        <v>8011</v>
      </c>
      <c r="C89" s="336">
        <v>7388</v>
      </c>
      <c r="D89" s="359">
        <v>359</v>
      </c>
      <c r="E89" s="351"/>
      <c r="H89" s="57"/>
      <c r="M89" s="205"/>
    </row>
    <row r="90" spans="1:13" ht="12.75" hidden="1">
      <c r="A90" s="358">
        <v>37832</v>
      </c>
      <c r="B90" s="355">
        <v>7838</v>
      </c>
      <c r="C90" s="356">
        <v>7352</v>
      </c>
      <c r="D90" s="356">
        <v>353</v>
      </c>
      <c r="E90" s="362"/>
      <c r="H90" s="57"/>
      <c r="M90" s="205"/>
    </row>
    <row r="91" spans="1:13" ht="12.75">
      <c r="A91" s="345">
        <v>37863</v>
      </c>
      <c r="B91" s="560">
        <v>7622</v>
      </c>
      <c r="C91" s="561">
        <v>7327</v>
      </c>
      <c r="D91" s="561">
        <v>344</v>
      </c>
      <c r="E91" s="562"/>
      <c r="H91" s="57"/>
      <c r="M91" s="205"/>
    </row>
    <row r="92" spans="5:13" ht="12.75">
      <c r="E92" s="43"/>
      <c r="H92" s="57"/>
      <c r="M92" s="205"/>
    </row>
    <row r="93" spans="5:13" ht="12.75">
      <c r="E93" s="43"/>
      <c r="H93" s="57"/>
      <c r="M93" s="205"/>
    </row>
    <row r="94" spans="5:15" ht="12.75">
      <c r="E94" s="43"/>
      <c r="H94" s="57"/>
      <c r="K94" s="20"/>
      <c r="L94" s="38"/>
      <c r="M94" s="205"/>
      <c r="N94" s="333"/>
      <c r="O94" s="52"/>
    </row>
    <row r="95" spans="5:15" ht="12.75">
      <c r="E95" s="43"/>
      <c r="H95" s="57"/>
      <c r="K95" s="20"/>
      <c r="L95" s="38"/>
      <c r="M95" s="205"/>
      <c r="N95" s="333"/>
      <c r="O95" s="52"/>
    </row>
    <row r="96" spans="5:15" ht="12.75">
      <c r="E96" s="43"/>
      <c r="H96" s="57"/>
      <c r="K96" s="28"/>
      <c r="L96" s="50"/>
      <c r="M96" s="205"/>
      <c r="N96" s="331"/>
      <c r="O96" s="52"/>
    </row>
    <row r="97" spans="5:15" ht="12.75">
      <c r="E97" s="43"/>
      <c r="H97" s="57"/>
      <c r="K97" s="28"/>
      <c r="L97" s="50"/>
      <c r="M97" s="205"/>
      <c r="N97" s="332"/>
      <c r="O97" s="52"/>
    </row>
    <row r="98" spans="5:15" ht="12.75">
      <c r="E98" s="43"/>
      <c r="H98" s="57"/>
      <c r="K98" s="20"/>
      <c r="L98" s="38"/>
      <c r="M98" s="205"/>
      <c r="N98" s="333"/>
      <c r="O98" s="52"/>
    </row>
    <row r="99" spans="5:15" ht="12.75">
      <c r="E99" s="43"/>
      <c r="H99" s="57"/>
      <c r="K99" s="20"/>
      <c r="L99" s="39"/>
      <c r="M99" s="205"/>
      <c r="N99" s="333"/>
      <c r="O99" s="52"/>
    </row>
    <row r="100" spans="5:15" ht="12.75">
      <c r="E100" s="43"/>
      <c r="H100" s="57"/>
      <c r="K100" s="20"/>
      <c r="L100" s="39"/>
      <c r="M100" s="205"/>
      <c r="N100" s="333"/>
      <c r="O100" s="52"/>
    </row>
    <row r="101" spans="5:15" ht="12.75">
      <c r="E101" s="43"/>
      <c r="H101" s="57"/>
      <c r="K101" s="20"/>
      <c r="L101" s="39"/>
      <c r="M101" s="205"/>
      <c r="N101" s="333"/>
      <c r="O101" s="52"/>
    </row>
    <row r="102" spans="7:15" ht="12.75">
      <c r="G102" s="55"/>
      <c r="K102" s="20"/>
      <c r="L102" s="39"/>
      <c r="M102" s="205"/>
      <c r="N102" s="333"/>
      <c r="O102" s="52"/>
    </row>
    <row r="103" spans="7:15" ht="12.75">
      <c r="G103" s="55"/>
      <c r="K103" s="20"/>
      <c r="L103" s="39"/>
      <c r="M103" s="205"/>
      <c r="N103" s="333"/>
      <c r="O103" s="52"/>
    </row>
    <row r="104" spans="7:15" ht="12.75">
      <c r="G104" s="55"/>
      <c r="K104" s="20"/>
      <c r="L104" s="39"/>
      <c r="M104" s="205"/>
      <c r="N104" s="333"/>
      <c r="O104" s="52"/>
    </row>
    <row r="105" spans="7:15" ht="12.75">
      <c r="G105" s="55"/>
      <c r="K105" s="20"/>
      <c r="L105" s="39"/>
      <c r="M105" s="205"/>
      <c r="N105" s="333"/>
      <c r="O105" s="52"/>
    </row>
    <row r="106" spans="7:15" ht="12.75">
      <c r="G106" s="55"/>
      <c r="K106" s="20"/>
      <c r="L106" s="39"/>
      <c r="M106" s="205"/>
      <c r="N106" s="333"/>
      <c r="O106" s="52"/>
    </row>
    <row r="107" spans="7:15" ht="12.75">
      <c r="G107" s="55"/>
      <c r="K107" s="20"/>
      <c r="L107" s="39"/>
      <c r="M107" s="205"/>
      <c r="N107" s="333"/>
      <c r="O107" s="52"/>
    </row>
    <row r="108" spans="7:15" ht="12.75">
      <c r="G108" s="55"/>
      <c r="K108" s="20"/>
      <c r="L108" s="39"/>
      <c r="M108" s="205"/>
      <c r="N108" s="333"/>
      <c r="O108" s="52"/>
    </row>
    <row r="109" spans="7:15" ht="12.75">
      <c r="G109" s="55"/>
      <c r="K109" s="20"/>
      <c r="L109" s="39"/>
      <c r="M109" s="205"/>
      <c r="N109" s="333"/>
      <c r="O109" s="52"/>
    </row>
    <row r="110" spans="7:15" ht="12.75">
      <c r="G110" s="55"/>
      <c r="K110" s="20"/>
      <c r="L110" s="39"/>
      <c r="M110" s="205"/>
      <c r="N110" s="333"/>
      <c r="O110" s="52"/>
    </row>
    <row r="111" spans="7:15" ht="12.75">
      <c r="G111" s="55"/>
      <c r="K111" s="20"/>
      <c r="L111" s="39"/>
      <c r="M111" s="205"/>
      <c r="N111" s="333"/>
      <c r="O111" s="52"/>
    </row>
    <row r="112" spans="7:15" ht="12.75">
      <c r="G112" s="55"/>
      <c r="K112" s="20"/>
      <c r="L112" s="39"/>
      <c r="M112" s="205"/>
      <c r="N112" s="333"/>
      <c r="O112" s="52"/>
    </row>
    <row r="113" spans="7:15" ht="12.75">
      <c r="G113" s="55"/>
      <c r="K113" s="20"/>
      <c r="L113" s="39"/>
      <c r="M113" s="205"/>
      <c r="N113" s="333"/>
      <c r="O113" s="52"/>
    </row>
    <row r="114" spans="7:15" ht="12.75">
      <c r="G114" s="55"/>
      <c r="K114" s="20"/>
      <c r="L114" s="39"/>
      <c r="M114" s="205"/>
      <c r="N114" s="333"/>
      <c r="O114" s="52"/>
    </row>
    <row r="115" spans="7:15" ht="12.75">
      <c r="G115" s="55"/>
      <c r="K115" s="20"/>
      <c r="L115" s="39"/>
      <c r="M115" s="205"/>
      <c r="N115" s="333"/>
      <c r="O115" s="52"/>
    </row>
    <row r="116" spans="7:15" ht="12.75">
      <c r="G116" s="55"/>
      <c r="K116" s="20"/>
      <c r="L116" s="39"/>
      <c r="M116" s="205"/>
      <c r="N116" s="333"/>
      <c r="O116" s="52"/>
    </row>
    <row r="117" spans="7:15" ht="12.75">
      <c r="G117" s="55"/>
      <c r="K117" s="20"/>
      <c r="L117" s="39"/>
      <c r="M117" s="205"/>
      <c r="N117" s="333"/>
      <c r="O117" s="52"/>
    </row>
    <row r="118" spans="7:15" ht="12.75">
      <c r="G118" s="55"/>
      <c r="K118" s="28"/>
      <c r="L118" s="49"/>
      <c r="M118" s="205"/>
      <c r="N118" s="332"/>
      <c r="O118" s="52"/>
    </row>
    <row r="119" spans="7:15" ht="12.75">
      <c r="G119" s="55"/>
      <c r="K119" s="28"/>
      <c r="L119" s="49"/>
      <c r="M119" s="205"/>
      <c r="N119" s="332"/>
      <c r="O119" s="52"/>
    </row>
    <row r="120" spans="7:15" ht="12.75">
      <c r="G120" s="55"/>
      <c r="K120" s="28"/>
      <c r="L120" s="49"/>
      <c r="M120" s="205"/>
      <c r="N120" s="332"/>
      <c r="O120" s="52"/>
    </row>
    <row r="121" spans="7:14" ht="12.75">
      <c r="G121" s="55"/>
      <c r="K121" s="20"/>
      <c r="L121" s="38"/>
      <c r="M121" s="205"/>
      <c r="N121" s="333"/>
    </row>
    <row r="122" spans="7:14" ht="12.75">
      <c r="G122" s="55"/>
      <c r="K122" s="20"/>
      <c r="L122" s="38"/>
      <c r="M122" s="205"/>
      <c r="N122" s="333"/>
    </row>
    <row r="123" spans="7:14" ht="12.75">
      <c r="G123" s="55"/>
      <c r="K123" s="20"/>
      <c r="L123" s="38"/>
      <c r="M123" s="205"/>
      <c r="N123" s="333"/>
    </row>
    <row r="124" spans="7:14" ht="12.75">
      <c r="G124" s="55"/>
      <c r="K124" s="20"/>
      <c r="L124" s="38"/>
      <c r="M124" s="205"/>
      <c r="N124" s="333"/>
    </row>
    <row r="125" spans="7:14" ht="12.75">
      <c r="G125" s="55"/>
      <c r="K125" s="20"/>
      <c r="L125" s="38"/>
      <c r="M125" s="205"/>
      <c r="N125" s="333"/>
    </row>
    <row r="126" spans="7:14" ht="12.75">
      <c r="G126" s="55"/>
      <c r="K126" s="58"/>
      <c r="L126" s="38"/>
      <c r="M126" s="205"/>
      <c r="N126" s="333"/>
    </row>
    <row r="127" spans="7:14" ht="12.75">
      <c r="G127" s="55"/>
      <c r="K127" s="20"/>
      <c r="L127" s="38"/>
      <c r="M127" s="205"/>
      <c r="N127" s="333"/>
    </row>
    <row r="128" spans="7:14" ht="12.75">
      <c r="G128" s="55"/>
      <c r="K128" s="20"/>
      <c r="L128" s="38"/>
      <c r="M128" s="205"/>
      <c r="N128" s="333"/>
    </row>
    <row r="129" spans="7:14" ht="12.75">
      <c r="G129" s="55"/>
      <c r="K129" s="20"/>
      <c r="L129" s="38"/>
      <c r="M129" s="205"/>
      <c r="N129" s="333"/>
    </row>
    <row r="130" spans="7:14" ht="12.75">
      <c r="G130" s="55"/>
      <c r="K130" s="20"/>
      <c r="L130" s="38"/>
      <c r="M130" s="205"/>
      <c r="N130" s="333"/>
    </row>
    <row r="131" spans="7:14" ht="12.75">
      <c r="G131" s="55"/>
      <c r="K131" s="20"/>
      <c r="L131" s="38"/>
      <c r="M131" s="205"/>
      <c r="N131" s="333"/>
    </row>
    <row r="132" spans="7:14" ht="12.75">
      <c r="G132" s="55"/>
      <c r="K132" s="20"/>
      <c r="L132" s="38"/>
      <c r="M132" s="205"/>
      <c r="N132" s="333"/>
    </row>
    <row r="133" spans="11:14" ht="12.75">
      <c r="K133" s="20"/>
      <c r="L133" s="38"/>
      <c r="M133" s="205"/>
      <c r="N133" s="333"/>
    </row>
    <row r="134" spans="11:14" ht="12.75">
      <c r="K134" s="20"/>
      <c r="L134" s="38"/>
      <c r="M134" s="205"/>
      <c r="N134" s="333"/>
    </row>
    <row r="135" spans="11:14" ht="12.75">
      <c r="K135" s="20"/>
      <c r="L135" s="38"/>
      <c r="M135" s="205"/>
      <c r="N135" s="333"/>
    </row>
    <row r="136" spans="11:14" ht="12.75">
      <c r="K136" s="20"/>
      <c r="L136" s="38"/>
      <c r="M136" s="205"/>
      <c r="N136" s="333"/>
    </row>
    <row r="137" spans="11:14" ht="12.75">
      <c r="K137" s="20"/>
      <c r="L137" s="38"/>
      <c r="M137" s="205"/>
      <c r="N137" s="333"/>
    </row>
    <row r="138" ht="12.75">
      <c r="M138" s="205"/>
    </row>
    <row r="139" ht="12.75">
      <c r="M139" s="205"/>
    </row>
    <row r="140" ht="12.75">
      <c r="M140" s="205"/>
    </row>
    <row r="141" ht="12.75">
      <c r="M141" s="205"/>
    </row>
    <row r="142" ht="12.75">
      <c r="M142" s="205"/>
    </row>
    <row r="143" ht="12.75">
      <c r="M143" s="205"/>
    </row>
    <row r="144" ht="12.75">
      <c r="M144" s="205"/>
    </row>
    <row r="145" ht="12.75">
      <c r="M145" s="205"/>
    </row>
    <row r="146" ht="12.75">
      <c r="M146" s="205"/>
    </row>
    <row r="147" ht="12.75">
      <c r="M147" s="205"/>
    </row>
    <row r="148" ht="12.75">
      <c r="M148" s="205"/>
    </row>
    <row r="149" ht="12.75">
      <c r="M149" s="205"/>
    </row>
    <row r="150" ht="12.75">
      <c r="M150" s="205"/>
    </row>
    <row r="151" ht="12.75">
      <c r="M151" s="205"/>
    </row>
    <row r="152" ht="12.75">
      <c r="M152" s="205"/>
    </row>
    <row r="153" ht="12.75">
      <c r="M153" s="205"/>
    </row>
    <row r="154" ht="12.75">
      <c r="M154" s="205"/>
    </row>
    <row r="155" ht="12.75">
      <c r="M155" s="205"/>
    </row>
    <row r="156" ht="12.75">
      <c r="M156" s="205"/>
    </row>
    <row r="157" ht="12.75">
      <c r="M157" s="205"/>
    </row>
    <row r="158" ht="12.75">
      <c r="M158" s="205"/>
    </row>
    <row r="159" ht="12.75">
      <c r="M159" s="205"/>
    </row>
    <row r="160" ht="12.75">
      <c r="M160" s="205"/>
    </row>
    <row r="161" ht="12.75">
      <c r="M161" s="205"/>
    </row>
    <row r="162" ht="12.75">
      <c r="M162" s="205"/>
    </row>
    <row r="163" ht="12.75">
      <c r="M163" s="205"/>
    </row>
    <row r="164" ht="12.75">
      <c r="M164" s="205"/>
    </row>
    <row r="165" ht="12.75">
      <c r="M165" s="205"/>
    </row>
    <row r="166" ht="12.75">
      <c r="M166" s="205"/>
    </row>
    <row r="167" ht="12.75">
      <c r="M167" s="205"/>
    </row>
    <row r="168" ht="12.75">
      <c r="M168" s="205"/>
    </row>
    <row r="169" ht="12.75">
      <c r="M169" s="205"/>
    </row>
    <row r="170" ht="12.75">
      <c r="M170" s="205"/>
    </row>
    <row r="171" ht="12.75">
      <c r="M171" s="205"/>
    </row>
    <row r="172" ht="12.75">
      <c r="M172" s="205"/>
    </row>
    <row r="173" ht="12.75">
      <c r="M173" s="205"/>
    </row>
    <row r="174" ht="12.75">
      <c r="M174" s="205"/>
    </row>
    <row r="175" ht="12.75">
      <c r="M175" s="205"/>
    </row>
    <row r="176" ht="12.75">
      <c r="M176" s="205"/>
    </row>
    <row r="177" ht="12.75">
      <c r="M177" s="205"/>
    </row>
    <row r="178" ht="12.75">
      <c r="M178" s="205"/>
    </row>
    <row r="179" ht="12.75">
      <c r="M179" s="205"/>
    </row>
    <row r="180" ht="12.75">
      <c r="M180" s="205"/>
    </row>
    <row r="181" ht="12.75">
      <c r="M181" s="205"/>
    </row>
    <row r="182" ht="12.75">
      <c r="M182" s="205"/>
    </row>
    <row r="183" ht="12.75">
      <c r="M183" s="205"/>
    </row>
    <row r="184" ht="12.75">
      <c r="M184" s="205"/>
    </row>
    <row r="185" ht="12.75">
      <c r="M185" s="205"/>
    </row>
    <row r="186" ht="12.75">
      <c r="M186" s="205"/>
    </row>
    <row r="187" ht="12.75">
      <c r="M187" s="205"/>
    </row>
    <row r="188" ht="12.75">
      <c r="M188" s="205"/>
    </row>
    <row r="189" ht="12.75">
      <c r="M189" s="205"/>
    </row>
    <row r="190" ht="12.75">
      <c r="M190" s="205"/>
    </row>
    <row r="191" ht="12.75">
      <c r="M191" s="205"/>
    </row>
    <row r="192" ht="12.75">
      <c r="M192" s="205"/>
    </row>
    <row r="193" ht="12.75">
      <c r="M193" s="205"/>
    </row>
    <row r="194" ht="12.75">
      <c r="M194" s="205"/>
    </row>
    <row r="195" ht="12.75">
      <c r="M195" s="205"/>
    </row>
    <row r="196" ht="12.75">
      <c r="M196" s="205"/>
    </row>
    <row r="197" ht="12.75">
      <c r="M197" s="205"/>
    </row>
    <row r="198" ht="12.75">
      <c r="M198" s="205"/>
    </row>
    <row r="199" ht="12.75">
      <c r="M199" s="205"/>
    </row>
    <row r="200" ht="12.75">
      <c r="M200" s="205"/>
    </row>
    <row r="201" ht="12.75">
      <c r="M201" s="205"/>
    </row>
    <row r="202" ht="12.75">
      <c r="M202" s="205"/>
    </row>
    <row r="203" ht="12.75">
      <c r="M203" s="205"/>
    </row>
    <row r="204" ht="12.75">
      <c r="M204" s="205"/>
    </row>
    <row r="205" ht="12.75">
      <c r="M205" s="205"/>
    </row>
    <row r="206" ht="12.75">
      <c r="M206" s="205"/>
    </row>
    <row r="207" ht="12.75">
      <c r="M207" s="205"/>
    </row>
    <row r="208" ht="12.75">
      <c r="M208" s="205"/>
    </row>
    <row r="209" ht="12.75">
      <c r="M209" s="205"/>
    </row>
    <row r="210" ht="12.75">
      <c r="M210" s="205"/>
    </row>
    <row r="211" ht="12.75">
      <c r="M211" s="205"/>
    </row>
    <row r="212" ht="12.75">
      <c r="M212" s="205"/>
    </row>
    <row r="213" ht="12.75">
      <c r="M213" s="205"/>
    </row>
    <row r="214" ht="12.75">
      <c r="M214" s="205"/>
    </row>
    <row r="215" ht="12.75">
      <c r="M215" s="205"/>
    </row>
    <row r="216" ht="12.75">
      <c r="M216" s="205"/>
    </row>
    <row r="217" ht="12.75">
      <c r="M217" s="205"/>
    </row>
    <row r="218" ht="12.75">
      <c r="M218" s="205"/>
    </row>
    <row r="219" ht="12.75">
      <c r="M219" s="205"/>
    </row>
    <row r="220" ht="12.75">
      <c r="M220" s="205"/>
    </row>
    <row r="221" ht="12.75">
      <c r="M221" s="205"/>
    </row>
    <row r="222" ht="12.75">
      <c r="M222" s="205"/>
    </row>
    <row r="223" ht="12.75">
      <c r="M223" s="205"/>
    </row>
    <row r="224" ht="12.75">
      <c r="M224" s="205"/>
    </row>
    <row r="225" ht="12.75">
      <c r="M225" s="205"/>
    </row>
    <row r="226" ht="12.75">
      <c r="M226" s="205"/>
    </row>
    <row r="227" ht="12.75">
      <c r="M227" s="205"/>
    </row>
    <row r="228" ht="12.75">
      <c r="M228" s="205"/>
    </row>
    <row r="229" ht="12.75">
      <c r="M229" s="205"/>
    </row>
    <row r="230" ht="12.75">
      <c r="M230" s="205"/>
    </row>
    <row r="231" ht="12.75">
      <c r="M231" s="205"/>
    </row>
    <row r="232" ht="12.75">
      <c r="M232" s="205"/>
    </row>
    <row r="233" ht="12.75">
      <c r="M233" s="205"/>
    </row>
    <row r="234" ht="12.75">
      <c r="M234" s="205"/>
    </row>
    <row r="235" ht="12.75">
      <c r="M235" s="205"/>
    </row>
    <row r="236" ht="12.75">
      <c r="M236" s="205"/>
    </row>
    <row r="237" ht="12.75">
      <c r="M237" s="205"/>
    </row>
    <row r="238" ht="12.75">
      <c r="M238" s="205"/>
    </row>
    <row r="239" ht="12.75">
      <c r="M239" s="205"/>
    </row>
    <row r="240" ht="12.75">
      <c r="M240" s="205"/>
    </row>
    <row r="241" ht="12.75">
      <c r="M241" s="205"/>
    </row>
    <row r="242" ht="12.75">
      <c r="M242" s="205"/>
    </row>
    <row r="243" ht="12.75">
      <c r="M243" s="205"/>
    </row>
    <row r="244" ht="12.75">
      <c r="M244" s="205"/>
    </row>
    <row r="245" ht="12.75">
      <c r="M245" s="205"/>
    </row>
    <row r="246" ht="12.75">
      <c r="M246" s="205"/>
    </row>
    <row r="247" ht="12.75">
      <c r="M247" s="205"/>
    </row>
    <row r="248" ht="12.75">
      <c r="M248" s="205"/>
    </row>
    <row r="249" ht="12.75">
      <c r="M249" s="205"/>
    </row>
    <row r="250" ht="12.75">
      <c r="M250" s="205"/>
    </row>
    <row r="251" ht="12.75">
      <c r="M251" s="205"/>
    </row>
    <row r="252" ht="12.75">
      <c r="M252" s="205"/>
    </row>
    <row r="253" ht="12.75">
      <c r="M253" s="205"/>
    </row>
    <row r="254" ht="12.75">
      <c r="M254" s="205"/>
    </row>
    <row r="255" ht="12.75">
      <c r="M255" s="205"/>
    </row>
    <row r="256" ht="12.75">
      <c r="M256" s="205"/>
    </row>
    <row r="257" ht="12.75">
      <c r="M257" s="205"/>
    </row>
    <row r="258" ht="12.75">
      <c r="M258" s="205"/>
    </row>
    <row r="259" ht="12.75">
      <c r="M259" s="205"/>
    </row>
    <row r="260" ht="12.75">
      <c r="M260" s="205"/>
    </row>
    <row r="261" ht="12.75">
      <c r="M261" s="205"/>
    </row>
    <row r="262" ht="12.75">
      <c r="M262" s="205"/>
    </row>
    <row r="263" ht="12.75">
      <c r="M263" s="205"/>
    </row>
    <row r="264" ht="12.75">
      <c r="M264" s="205"/>
    </row>
    <row r="265" ht="12.75">
      <c r="M265" s="205"/>
    </row>
    <row r="266" ht="12.75">
      <c r="M266" s="205"/>
    </row>
    <row r="267" ht="12.75">
      <c r="M267" s="205"/>
    </row>
    <row r="268" ht="12.75">
      <c r="M268" s="205"/>
    </row>
    <row r="269" ht="12.75">
      <c r="M269" s="205"/>
    </row>
    <row r="270" ht="12.75">
      <c r="M270" s="205"/>
    </row>
    <row r="271" ht="12.75">
      <c r="M271" s="205"/>
    </row>
    <row r="272" ht="12.75">
      <c r="M272" s="205"/>
    </row>
    <row r="273" ht="12.75">
      <c r="M273" s="205"/>
    </row>
    <row r="274" ht="12.75">
      <c r="M274" s="205"/>
    </row>
    <row r="275" ht="12.75">
      <c r="M275" s="205"/>
    </row>
    <row r="276" ht="12.75">
      <c r="M276" s="205"/>
    </row>
    <row r="277" ht="12.75">
      <c r="M277" s="205"/>
    </row>
    <row r="278" ht="12.75">
      <c r="M278" s="205"/>
    </row>
    <row r="279" ht="12.75">
      <c r="M279" s="205"/>
    </row>
    <row r="280" ht="12.75">
      <c r="M280" s="205"/>
    </row>
    <row r="281" ht="12.75">
      <c r="M281" s="205"/>
    </row>
    <row r="282" ht="12.75">
      <c r="M282" s="205"/>
    </row>
    <row r="283" ht="12.75">
      <c r="M283" s="205"/>
    </row>
    <row r="284" ht="12.75">
      <c r="M284" s="205"/>
    </row>
    <row r="285" ht="12.75">
      <c r="M285" s="205"/>
    </row>
    <row r="286" ht="12.75">
      <c r="M286" s="205"/>
    </row>
    <row r="287" ht="12.75">
      <c r="M287" s="205"/>
    </row>
    <row r="288" ht="12.75">
      <c r="M288" s="205"/>
    </row>
    <row r="289" ht="12.75">
      <c r="M289" s="205"/>
    </row>
    <row r="290" ht="12.75">
      <c r="M290" s="205"/>
    </row>
    <row r="291" ht="12.75">
      <c r="M291" s="205"/>
    </row>
    <row r="292" ht="12.75">
      <c r="M292" s="205"/>
    </row>
    <row r="293" ht="12.75">
      <c r="M293" s="205"/>
    </row>
    <row r="294" ht="12.75">
      <c r="M294" s="205"/>
    </row>
    <row r="295" ht="12.75">
      <c r="M295" s="205"/>
    </row>
    <row r="296" ht="12.75">
      <c r="M296" s="205"/>
    </row>
    <row r="297" ht="12.75">
      <c r="M297" s="205"/>
    </row>
    <row r="298" ht="12.75">
      <c r="M298" s="205"/>
    </row>
    <row r="299" ht="12.75">
      <c r="M299" s="205"/>
    </row>
    <row r="300" ht="12.75">
      <c r="M300" s="205"/>
    </row>
    <row r="301" ht="12.75">
      <c r="M301" s="205"/>
    </row>
    <row r="302" ht="12.75">
      <c r="M302" s="205"/>
    </row>
    <row r="303" ht="12.75">
      <c r="M303" s="205"/>
    </row>
    <row r="304" ht="12.75">
      <c r="M304" s="205"/>
    </row>
    <row r="305" ht="12.75">
      <c r="M305" s="205"/>
    </row>
    <row r="306" ht="12.75">
      <c r="M306" s="205"/>
    </row>
    <row r="307" ht="12.75">
      <c r="M307" s="205"/>
    </row>
    <row r="308" ht="12.75">
      <c r="M308" s="205"/>
    </row>
    <row r="309" ht="12.75">
      <c r="M309" s="205"/>
    </row>
    <row r="310" ht="12.75">
      <c r="M310" s="205"/>
    </row>
    <row r="311" ht="12.75">
      <c r="M311" s="205"/>
    </row>
    <row r="312" ht="12.75">
      <c r="M312" s="205"/>
    </row>
    <row r="313" ht="12.75">
      <c r="M313" s="205"/>
    </row>
    <row r="314" ht="12.75">
      <c r="M314" s="205"/>
    </row>
    <row r="315" ht="12.75">
      <c r="M315" s="205"/>
    </row>
    <row r="316" ht="12.75">
      <c r="M316" s="205"/>
    </row>
    <row r="317" ht="12.75">
      <c r="M317" s="205"/>
    </row>
    <row r="318" ht="12.75">
      <c r="M318" s="205"/>
    </row>
    <row r="319" ht="12.75">
      <c r="M319" s="205"/>
    </row>
    <row r="320" ht="12.75">
      <c r="M320" s="205"/>
    </row>
    <row r="321" ht="12.75">
      <c r="M321" s="205"/>
    </row>
    <row r="322" ht="12.75">
      <c r="M322" s="205"/>
    </row>
    <row r="323" ht="12.75">
      <c r="M323" s="205"/>
    </row>
    <row r="324" ht="12.75">
      <c r="M324" s="205"/>
    </row>
    <row r="325" ht="12.75">
      <c r="M325" s="205"/>
    </row>
    <row r="326" ht="12.75">
      <c r="M326" s="205"/>
    </row>
    <row r="327" ht="12.75">
      <c r="M327" s="205"/>
    </row>
    <row r="328" ht="12.75">
      <c r="M328" s="205"/>
    </row>
    <row r="329" ht="12.75">
      <c r="M329" s="205"/>
    </row>
    <row r="330" ht="12.75">
      <c r="M330" s="205"/>
    </row>
    <row r="331" ht="12.75">
      <c r="M331" s="205"/>
    </row>
    <row r="332" ht="12.75">
      <c r="M332" s="205"/>
    </row>
    <row r="333" ht="12.75">
      <c r="M333" s="205"/>
    </row>
    <row r="334" ht="12.75">
      <c r="M334" s="205"/>
    </row>
    <row r="335" ht="12.75">
      <c r="M335" s="205"/>
    </row>
    <row r="336" ht="12.75">
      <c r="M336" s="205"/>
    </row>
    <row r="337" ht="12.75">
      <c r="M337" s="205"/>
    </row>
    <row r="338" ht="12.75">
      <c r="M338" s="205"/>
    </row>
    <row r="339" ht="12.75">
      <c r="M339" s="205"/>
    </row>
    <row r="340" ht="12.75">
      <c r="M340" s="205"/>
    </row>
    <row r="341" ht="12.75">
      <c r="M341" s="205"/>
    </row>
    <row r="342" ht="12.75">
      <c r="M342" s="205"/>
    </row>
    <row r="343" ht="12.75">
      <c r="M343" s="205"/>
    </row>
    <row r="344" ht="12.75">
      <c r="M344" s="205"/>
    </row>
    <row r="345" ht="12.75">
      <c r="M345" s="205"/>
    </row>
    <row r="346" ht="12.75">
      <c r="M346" s="205"/>
    </row>
    <row r="347" ht="12.75">
      <c r="M347" s="205"/>
    </row>
    <row r="348" ht="12.75">
      <c r="M348" s="205"/>
    </row>
    <row r="349" ht="12.75">
      <c r="M349" s="205"/>
    </row>
    <row r="350" ht="12.75">
      <c r="M350" s="205"/>
    </row>
    <row r="351" ht="12.75">
      <c r="M351" s="205"/>
    </row>
    <row r="352" ht="12.75">
      <c r="M352" s="205"/>
    </row>
    <row r="353" ht="12.75">
      <c r="M353" s="205"/>
    </row>
    <row r="354" ht="12.75">
      <c r="M354" s="205"/>
    </row>
    <row r="355" ht="12.75">
      <c r="M355" s="205"/>
    </row>
    <row r="356" ht="12.75">
      <c r="M356" s="205"/>
    </row>
    <row r="357" ht="12.75">
      <c r="M357" s="205"/>
    </row>
    <row r="358" ht="12.75">
      <c r="M358" s="205"/>
    </row>
    <row r="359" ht="12.75">
      <c r="M359" s="205"/>
    </row>
    <row r="360" ht="12.75">
      <c r="M360" s="205"/>
    </row>
    <row r="361" ht="12.75">
      <c r="M361" s="205"/>
    </row>
    <row r="362" ht="12.75">
      <c r="M362" s="205"/>
    </row>
    <row r="363" ht="12.75">
      <c r="M363" s="205"/>
    </row>
    <row r="364" ht="12.75">
      <c r="M364" s="205"/>
    </row>
    <row r="365" ht="12.75">
      <c r="M365" s="205"/>
    </row>
    <row r="366" ht="12.75">
      <c r="M366" s="205"/>
    </row>
    <row r="367" ht="12.75">
      <c r="M367" s="205"/>
    </row>
    <row r="368" ht="12.75">
      <c r="M368" s="205"/>
    </row>
    <row r="369" ht="12.75">
      <c r="M369" s="205"/>
    </row>
    <row r="370" ht="12.75">
      <c r="M370" s="205"/>
    </row>
    <row r="371" ht="12.75">
      <c r="M371" s="205"/>
    </row>
    <row r="372" ht="12.75">
      <c r="M372" s="205"/>
    </row>
    <row r="373" ht="12.75">
      <c r="M373" s="205"/>
    </row>
    <row r="374" ht="12.75">
      <c r="M374" s="205"/>
    </row>
    <row r="375" ht="12.75">
      <c r="M375" s="205"/>
    </row>
    <row r="376" ht="12.75">
      <c r="M376" s="205"/>
    </row>
    <row r="377" ht="12.75">
      <c r="M377" s="205"/>
    </row>
    <row r="378" ht="12.75">
      <c r="M378" s="205"/>
    </row>
    <row r="379" ht="12.75">
      <c r="M379" s="205"/>
    </row>
    <row r="380" ht="12.75">
      <c r="M380" s="205"/>
    </row>
    <row r="381" ht="12.75">
      <c r="M381" s="205"/>
    </row>
    <row r="382" ht="12.75">
      <c r="M382" s="205"/>
    </row>
    <row r="383" ht="12.75">
      <c r="M383" s="205"/>
    </row>
    <row r="384" ht="12.75">
      <c r="M384" s="205"/>
    </row>
    <row r="385" ht="12.75">
      <c r="M385" s="205"/>
    </row>
    <row r="386" ht="12.75">
      <c r="M386" s="205"/>
    </row>
    <row r="387" ht="12.75">
      <c r="M387" s="205"/>
    </row>
    <row r="388" ht="12.75">
      <c r="M388" s="205"/>
    </row>
    <row r="389" ht="12.75">
      <c r="M389" s="205"/>
    </row>
    <row r="390" ht="12.75">
      <c r="M390" s="205"/>
    </row>
    <row r="391" ht="12.75">
      <c r="M391" s="205"/>
    </row>
    <row r="392" ht="12.75">
      <c r="M392" s="205"/>
    </row>
    <row r="393" ht="12.75">
      <c r="M393" s="205"/>
    </row>
    <row r="394" ht="12.75">
      <c r="M394" s="205"/>
    </row>
    <row r="395" ht="12.75">
      <c r="M395" s="205"/>
    </row>
    <row r="396" ht="12.75">
      <c r="M396" s="205"/>
    </row>
    <row r="397" ht="12.75">
      <c r="M397" s="205"/>
    </row>
    <row r="398" ht="12.75">
      <c r="M398" s="205"/>
    </row>
    <row r="399" ht="12.75">
      <c r="M399" s="205"/>
    </row>
    <row r="400" ht="12.75">
      <c r="M400" s="205"/>
    </row>
    <row r="401" ht="12.75">
      <c r="M401" s="205"/>
    </row>
    <row r="402" ht="12.75">
      <c r="M402" s="205"/>
    </row>
    <row r="403" ht="12.75">
      <c r="M403" s="205"/>
    </row>
    <row r="404" ht="12.75">
      <c r="M404" s="205"/>
    </row>
    <row r="405" ht="12.75">
      <c r="M405" s="205"/>
    </row>
    <row r="406" ht="12.75">
      <c r="M406" s="205"/>
    </row>
    <row r="407" ht="12.75">
      <c r="M407" s="205"/>
    </row>
    <row r="408" ht="12.75">
      <c r="M408" s="205"/>
    </row>
    <row r="409" ht="12.75">
      <c r="M409" s="205"/>
    </row>
    <row r="410" ht="12.75">
      <c r="M410" s="205"/>
    </row>
    <row r="411" ht="12.75">
      <c r="M411" s="205"/>
    </row>
    <row r="412" ht="12.75">
      <c r="M412" s="205"/>
    </row>
    <row r="413" ht="12.75">
      <c r="M413" s="205"/>
    </row>
    <row r="414" ht="12.75">
      <c r="M414" s="205"/>
    </row>
    <row r="415" ht="12.75">
      <c r="M415" s="205"/>
    </row>
    <row r="416" ht="12.75">
      <c r="M416" s="205"/>
    </row>
    <row r="417" ht="12.75">
      <c r="M417" s="205"/>
    </row>
    <row r="418" ht="12.75">
      <c r="M418" s="205"/>
    </row>
    <row r="419" ht="12.75">
      <c r="M419" s="205"/>
    </row>
    <row r="420" ht="12.75">
      <c r="M420" s="205"/>
    </row>
    <row r="421" ht="12.75">
      <c r="M421" s="205"/>
    </row>
    <row r="422" ht="12.75">
      <c r="M422" s="205"/>
    </row>
    <row r="423" ht="12.75">
      <c r="M423" s="205"/>
    </row>
    <row r="424" ht="12.75">
      <c r="M424" s="205"/>
    </row>
    <row r="425" ht="12.75">
      <c r="M425" s="205"/>
    </row>
    <row r="426" ht="12.75">
      <c r="M426" s="205"/>
    </row>
    <row r="427" ht="12.75">
      <c r="M427" s="205"/>
    </row>
    <row r="428" ht="12.75">
      <c r="M428" s="205"/>
    </row>
    <row r="429" ht="12.75">
      <c r="M429" s="205"/>
    </row>
    <row r="430" ht="12.75">
      <c r="M430" s="205"/>
    </row>
    <row r="431" ht="12.75">
      <c r="M431" s="205"/>
    </row>
    <row r="432" ht="12.75">
      <c r="M432" s="205"/>
    </row>
    <row r="433" ht="12.75">
      <c r="M433" s="205"/>
    </row>
    <row r="434" ht="12.75">
      <c r="M434" s="205"/>
    </row>
    <row r="435" ht="12.75">
      <c r="M435" s="205"/>
    </row>
    <row r="436" ht="12.75">
      <c r="M436" s="205"/>
    </row>
    <row r="437" ht="12.75">
      <c r="M437" s="205"/>
    </row>
    <row r="438" ht="12.75">
      <c r="M438" s="205"/>
    </row>
    <row r="439" ht="12.75">
      <c r="M439" s="205"/>
    </row>
    <row r="440" ht="12.75">
      <c r="M440" s="205"/>
    </row>
    <row r="441" ht="12.75">
      <c r="M441" s="205"/>
    </row>
    <row r="442" ht="12.75">
      <c r="M442" s="205"/>
    </row>
    <row r="443" ht="12.75">
      <c r="M443" s="205"/>
    </row>
    <row r="444" ht="12.75">
      <c r="M444" s="205"/>
    </row>
    <row r="445" ht="12.75">
      <c r="M445" s="205"/>
    </row>
    <row r="446" ht="12.75">
      <c r="M446" s="205"/>
    </row>
    <row r="447" ht="12.75">
      <c r="M447" s="205"/>
    </row>
    <row r="448" ht="12.75">
      <c r="M448" s="205"/>
    </row>
    <row r="449" ht="12.75">
      <c r="M449" s="205"/>
    </row>
    <row r="450" ht="12.75">
      <c r="M450" s="205"/>
    </row>
    <row r="451" ht="12.75">
      <c r="M451" s="205"/>
    </row>
    <row r="452" ht="12.75">
      <c r="M452" s="205"/>
    </row>
    <row r="453" ht="12.75">
      <c r="M453" s="205"/>
    </row>
    <row r="454" ht="12.75">
      <c r="M454" s="205"/>
    </row>
    <row r="455" ht="12.75">
      <c r="M455" s="205"/>
    </row>
    <row r="456" ht="12.75">
      <c r="M456" s="205"/>
    </row>
    <row r="457" ht="12.75">
      <c r="M457" s="205"/>
    </row>
    <row r="458" ht="12.75">
      <c r="M458" s="205"/>
    </row>
    <row r="459" ht="12.75">
      <c r="M459" s="205"/>
    </row>
    <row r="460" ht="12.75">
      <c r="M460" s="205"/>
    </row>
    <row r="461" ht="12.75">
      <c r="M461" s="205"/>
    </row>
    <row r="462" ht="12.75">
      <c r="M462" s="205"/>
    </row>
    <row r="463" ht="12.75">
      <c r="M463" s="205"/>
    </row>
    <row r="464" ht="12.75">
      <c r="M464" s="205"/>
    </row>
    <row r="465" ht="12.75">
      <c r="M465" s="205"/>
    </row>
    <row r="466" ht="12.75">
      <c r="M466" s="205"/>
    </row>
    <row r="467" ht="12.75">
      <c r="M467" s="205"/>
    </row>
    <row r="468" ht="12.75">
      <c r="M468" s="205"/>
    </row>
    <row r="469" ht="12.75">
      <c r="M469" s="205"/>
    </row>
    <row r="470" ht="12.75">
      <c r="M470" s="205"/>
    </row>
    <row r="471" ht="12.75">
      <c r="M471" s="205"/>
    </row>
    <row r="472" ht="12.75">
      <c r="M472" s="205"/>
    </row>
    <row r="473" ht="12.75">
      <c r="M473" s="205"/>
    </row>
    <row r="474" ht="12.75">
      <c r="M474" s="205"/>
    </row>
    <row r="475" ht="12.75">
      <c r="M475" s="205"/>
    </row>
    <row r="476" ht="12.75">
      <c r="M476" s="205"/>
    </row>
    <row r="477" ht="12.75">
      <c r="M477" s="205"/>
    </row>
    <row r="478" ht="12.75">
      <c r="M478" s="205"/>
    </row>
    <row r="479" ht="12.75">
      <c r="M479" s="205"/>
    </row>
    <row r="480" ht="12.75">
      <c r="M480" s="205"/>
    </row>
    <row r="481" ht="12.75">
      <c r="M481" s="205"/>
    </row>
    <row r="482" ht="12.75">
      <c r="M482" s="205"/>
    </row>
    <row r="483" ht="12.75">
      <c r="M483" s="205"/>
    </row>
    <row r="484" ht="12.75">
      <c r="M484" s="205"/>
    </row>
    <row r="485" ht="12.75">
      <c r="M485" s="205"/>
    </row>
    <row r="486" ht="12.75">
      <c r="M486" s="205"/>
    </row>
    <row r="487" ht="12.75">
      <c r="M487" s="205"/>
    </row>
    <row r="488" ht="12.75">
      <c r="M488" s="205"/>
    </row>
    <row r="489" ht="12.75">
      <c r="M489" s="205"/>
    </row>
    <row r="490" ht="12.75">
      <c r="M490" s="205"/>
    </row>
    <row r="491" ht="12.75">
      <c r="M491" s="205"/>
    </row>
    <row r="492" ht="12.75">
      <c r="M492" s="205"/>
    </row>
    <row r="493" ht="12.75">
      <c r="M493" s="205"/>
    </row>
    <row r="494" ht="12.75">
      <c r="M494" s="205"/>
    </row>
    <row r="495" ht="12.75">
      <c r="M495" s="205"/>
    </row>
    <row r="496" ht="12.75">
      <c r="M496" s="205"/>
    </row>
    <row r="497" ht="12.75">
      <c r="M497" s="205"/>
    </row>
    <row r="498" ht="12.75">
      <c r="M498" s="205"/>
    </row>
    <row r="499" ht="12.75">
      <c r="M499" s="205"/>
    </row>
    <row r="500" ht="12.75">
      <c r="M500" s="205"/>
    </row>
    <row r="501" ht="12.75">
      <c r="M501" s="205"/>
    </row>
    <row r="502" ht="12.75">
      <c r="M502" s="205"/>
    </row>
    <row r="503" ht="12.75">
      <c r="M503" s="205"/>
    </row>
    <row r="504" ht="12.75">
      <c r="M504" s="205"/>
    </row>
    <row r="505" ht="12.75">
      <c r="M505" s="205"/>
    </row>
    <row r="506" ht="12.75">
      <c r="M506" s="205"/>
    </row>
    <row r="507" ht="12.75">
      <c r="M507" s="205"/>
    </row>
    <row r="508" ht="12.75">
      <c r="M508" s="205"/>
    </row>
    <row r="509" ht="12.75">
      <c r="M509" s="205"/>
    </row>
    <row r="510" ht="12.75">
      <c r="M510" s="205"/>
    </row>
    <row r="511" ht="12.75">
      <c r="M511" s="205"/>
    </row>
    <row r="512" ht="12.75">
      <c r="M512" s="205"/>
    </row>
    <row r="513" ht="12.75">
      <c r="M513" s="205"/>
    </row>
    <row r="514" ht="12.75">
      <c r="M514" s="205"/>
    </row>
    <row r="515" ht="12.75">
      <c r="M515" s="205"/>
    </row>
    <row r="516" ht="12.75">
      <c r="M516" s="205"/>
    </row>
    <row r="517" ht="12.75">
      <c r="M517" s="205"/>
    </row>
    <row r="518" ht="12.75">
      <c r="M518" s="205"/>
    </row>
    <row r="519" ht="12.75">
      <c r="M519" s="205"/>
    </row>
    <row r="520" ht="12.75">
      <c r="M520" s="205"/>
    </row>
    <row r="521" ht="12.75">
      <c r="M521" s="205"/>
    </row>
    <row r="522" ht="12.75">
      <c r="M522" s="205"/>
    </row>
    <row r="523" ht="12.75">
      <c r="M523" s="205"/>
    </row>
    <row r="524" ht="12.75">
      <c r="M524" s="205"/>
    </row>
    <row r="525" ht="12.75">
      <c r="M525" s="205"/>
    </row>
    <row r="526" ht="12.75">
      <c r="M526" s="205"/>
    </row>
    <row r="527" ht="12.75">
      <c r="M527" s="205"/>
    </row>
    <row r="528" ht="12.75">
      <c r="M528" s="205"/>
    </row>
    <row r="529" ht="12.75">
      <c r="M529" s="205"/>
    </row>
    <row r="530" ht="12.75">
      <c r="M530" s="205"/>
    </row>
    <row r="531" ht="12.75">
      <c r="M531" s="205"/>
    </row>
    <row r="532" ht="12.75">
      <c r="M532" s="205"/>
    </row>
    <row r="533" ht="12.75">
      <c r="M533" s="205"/>
    </row>
    <row r="534" ht="12.75">
      <c r="M534" s="205"/>
    </row>
    <row r="535" ht="12.75">
      <c r="M535" s="205"/>
    </row>
    <row r="536" ht="12.75">
      <c r="M536" s="205"/>
    </row>
    <row r="537" ht="12.75">
      <c r="M537" s="205"/>
    </row>
    <row r="538" ht="12.75">
      <c r="M538" s="205"/>
    </row>
    <row r="539" ht="12.75">
      <c r="M539" s="205"/>
    </row>
    <row r="540" ht="12.75">
      <c r="M540" s="205"/>
    </row>
    <row r="541" ht="12.75">
      <c r="M541" s="205"/>
    </row>
    <row r="542" ht="12.75">
      <c r="M542" s="205"/>
    </row>
    <row r="543" ht="12.75">
      <c r="M543" s="205"/>
    </row>
    <row r="544" ht="12.75">
      <c r="M544" s="205"/>
    </row>
    <row r="545" ht="12.75">
      <c r="M545" s="205"/>
    </row>
    <row r="546" ht="12.75">
      <c r="M546" s="205"/>
    </row>
    <row r="547" ht="12.75">
      <c r="M547" s="205"/>
    </row>
    <row r="548" ht="12.75">
      <c r="M548" s="205"/>
    </row>
    <row r="549" ht="12.75">
      <c r="M549" s="205"/>
    </row>
    <row r="550" ht="12.75">
      <c r="M550" s="205"/>
    </row>
    <row r="551" ht="12.75">
      <c r="M551" s="205"/>
    </row>
    <row r="552" ht="12.75">
      <c r="M552" s="205"/>
    </row>
    <row r="553" ht="12.75">
      <c r="M553" s="205"/>
    </row>
    <row r="554" ht="12.75">
      <c r="M554" s="205"/>
    </row>
    <row r="555" ht="12.75">
      <c r="M555" s="205"/>
    </row>
    <row r="556" ht="12.75">
      <c r="M556" s="205"/>
    </row>
    <row r="557" ht="12.75">
      <c r="M557" s="205"/>
    </row>
    <row r="558" ht="12.75">
      <c r="M558" s="205"/>
    </row>
    <row r="559" ht="12.75">
      <c r="M559" s="205"/>
    </row>
    <row r="560" ht="12.75">
      <c r="M560" s="205"/>
    </row>
    <row r="561" ht="12.75">
      <c r="M561" s="205"/>
    </row>
    <row r="562" ht="12.75">
      <c r="M562" s="205"/>
    </row>
  </sheetData>
  <printOptions/>
  <pageMargins left="0.5905511811023623" right="0.03937007874015748" top="0.1968503937007874" bottom="0.03937007874015748" header="0.57" footer="0.31496062992125984"/>
  <pageSetup fitToHeight="1" fitToWidth="1" orientation="portrait" paperSize="9" scale="7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3"/>
  <sheetViews>
    <sheetView showGridLines="0" workbookViewId="0" topLeftCell="A1">
      <pane ySplit="6" topLeftCell="BM7" activePane="bottomLeft" state="frozen"/>
      <selection pane="topLeft" activeCell="A1" sqref="A1"/>
      <selection pane="bottomLeft" activeCell="E78" sqref="E78"/>
    </sheetView>
  </sheetViews>
  <sheetFormatPr defaultColWidth="9.00390625" defaultRowHeight="12.75"/>
  <cols>
    <col min="1" max="1" width="43.625" style="3" customWidth="1"/>
    <col min="2" max="3" width="10.875" style="4" customWidth="1"/>
    <col min="4" max="4" width="10.875" style="5" customWidth="1"/>
    <col min="5" max="5" width="10.875" style="4" customWidth="1"/>
    <col min="6" max="6" width="12.50390625" style="2" customWidth="1"/>
    <col min="7" max="7" width="10.875" style="4" customWidth="1"/>
    <col min="8" max="8" width="9.00390625" style="3" customWidth="1"/>
    <col min="9" max="16384" width="9.375" style="3" customWidth="1"/>
  </cols>
  <sheetData>
    <row r="1" spans="1:7" ht="15">
      <c r="A1" s="6"/>
      <c r="B1" s="7"/>
      <c r="C1" s="8"/>
      <c r="D1" s="9"/>
      <c r="E1" s="10"/>
      <c r="F1" s="11"/>
      <c r="G1" s="16" t="s">
        <v>36</v>
      </c>
    </row>
    <row r="2" spans="1:6" ht="18">
      <c r="A2" s="12" t="s">
        <v>145</v>
      </c>
      <c r="B2" s="13"/>
      <c r="C2" s="9"/>
      <c r="D2" s="9"/>
      <c r="E2" s="14"/>
      <c r="F2" s="15"/>
    </row>
    <row r="3" spans="1:7" s="122" customFormat="1" ht="18">
      <c r="A3" s="352"/>
      <c r="B3" s="353"/>
      <c r="C3" s="9"/>
      <c r="D3" s="9"/>
      <c r="E3" s="22"/>
      <c r="F3" s="354"/>
      <c r="G3" s="5"/>
    </row>
    <row r="4" spans="1:7" ht="12.75">
      <c r="A4" s="17"/>
      <c r="B4" s="18"/>
      <c r="C4" s="19"/>
      <c r="D4" s="9"/>
      <c r="E4" s="14"/>
      <c r="F4" s="15"/>
      <c r="G4" s="14"/>
    </row>
    <row r="5" spans="1:7" ht="17.25" customHeight="1">
      <c r="A5" s="95"/>
      <c r="B5" s="143" t="s">
        <v>38</v>
      </c>
      <c r="C5" s="143" t="s">
        <v>39</v>
      </c>
      <c r="D5" s="144" t="s">
        <v>81</v>
      </c>
      <c r="E5" s="145" t="s">
        <v>40</v>
      </c>
      <c r="F5" s="146" t="s">
        <v>41</v>
      </c>
      <c r="G5" s="145" t="s">
        <v>53</v>
      </c>
    </row>
    <row r="6" spans="1:7" ht="12.75">
      <c r="A6" s="95"/>
      <c r="B6" s="147">
        <v>2007</v>
      </c>
      <c r="C6" s="147">
        <v>2007</v>
      </c>
      <c r="D6" s="147" t="s">
        <v>124</v>
      </c>
      <c r="E6" s="330"/>
      <c r="F6" s="148" t="s">
        <v>103</v>
      </c>
      <c r="G6" s="147"/>
    </row>
    <row r="7" spans="1:7" ht="12.75">
      <c r="A7" s="62" t="s">
        <v>37</v>
      </c>
      <c r="B7" s="25"/>
      <c r="C7" s="25"/>
      <c r="D7" s="25"/>
      <c r="E7" s="24"/>
      <c r="F7" s="23"/>
      <c r="G7" s="24"/>
    </row>
    <row r="8" spans="1:7" ht="12.75">
      <c r="A8" s="62"/>
      <c r="B8" s="25"/>
      <c r="C8" s="25"/>
      <c r="D8" s="25"/>
      <c r="E8" s="24"/>
      <c r="F8" s="23"/>
      <c r="G8" s="24"/>
    </row>
    <row r="9" spans="1:8" ht="12.75">
      <c r="A9" s="62" t="s">
        <v>77</v>
      </c>
      <c r="B9" s="97"/>
      <c r="C9" s="97"/>
      <c r="D9" s="97"/>
      <c r="E9" s="96"/>
      <c r="F9" s="98"/>
      <c r="G9" s="96"/>
      <c r="H9" s="1"/>
    </row>
    <row r="10" spans="1:9" ht="12.75">
      <c r="A10" s="140" t="s">
        <v>78</v>
      </c>
      <c r="B10" s="123">
        <f>SUM('[2]Sammanfattning augusti'!$C$18)</f>
        <v>307</v>
      </c>
      <c r="C10" s="123">
        <v>622</v>
      </c>
      <c r="D10" s="123">
        <v>622</v>
      </c>
      <c r="E10" s="123">
        <f>SUM('[2]Sammanfattning augusti'!$E$18)</f>
        <v>609</v>
      </c>
      <c r="F10" s="141">
        <f>SUM(B10/C10)</f>
        <v>0.49356913183279744</v>
      </c>
      <c r="G10" s="142">
        <f>+C10-B10</f>
        <v>315</v>
      </c>
      <c r="H10" s="1"/>
      <c r="I10" s="196"/>
    </row>
    <row r="11" spans="1:9" s="122" customFormat="1" ht="12.75">
      <c r="A11" s="124" t="s">
        <v>125</v>
      </c>
      <c r="B11" s="99">
        <f>SUM('[2]Sammanfattning augusti'!$C$19)</f>
        <v>540</v>
      </c>
      <c r="C11" s="99">
        <v>448</v>
      </c>
      <c r="D11" s="99">
        <v>448</v>
      </c>
      <c r="E11" s="99">
        <f>SUM('[2]Sammanfattning augusti'!$E$19)</f>
        <v>554</v>
      </c>
      <c r="F11" s="125"/>
      <c r="G11" s="102"/>
      <c r="H11" s="139"/>
      <c r="I11" s="334"/>
    </row>
    <row r="12" spans="1:9" s="122" customFormat="1" ht="12.75">
      <c r="A12" s="140" t="s">
        <v>79</v>
      </c>
      <c r="B12" s="123">
        <f>SUM('[2]Sammanfattning augusti'!$C$20)</f>
        <v>0</v>
      </c>
      <c r="C12" s="123">
        <v>3</v>
      </c>
      <c r="D12" s="123">
        <v>3</v>
      </c>
      <c r="E12" s="123">
        <f>SUM('[2]Sammanfattning augusti'!$E$20)</f>
        <v>0</v>
      </c>
      <c r="F12" s="141">
        <f aca="true" t="shared" si="0" ref="F12:F78">SUM(B12/C12)</f>
        <v>0</v>
      </c>
      <c r="G12" s="142">
        <f aca="true" t="shared" si="1" ref="G12:G82">+C12-B12</f>
        <v>3</v>
      </c>
      <c r="H12" s="139"/>
      <c r="I12" s="334"/>
    </row>
    <row r="13" spans="1:9" s="122" customFormat="1" ht="12.75">
      <c r="A13" s="124" t="s">
        <v>26</v>
      </c>
      <c r="B13" s="99">
        <f>SUM('[2]Sammanfattning augusti'!$C$21)</f>
        <v>278</v>
      </c>
      <c r="C13" s="99">
        <v>420</v>
      </c>
      <c r="D13" s="99">
        <v>420</v>
      </c>
      <c r="E13" s="99">
        <f>SUM('[2]Sammanfattning augusti'!$E$21)</f>
        <v>420</v>
      </c>
      <c r="F13" s="125">
        <f t="shared" si="0"/>
        <v>0.6619047619047619</v>
      </c>
      <c r="G13" s="102">
        <f t="shared" si="1"/>
        <v>142</v>
      </c>
      <c r="H13" s="139"/>
      <c r="I13" s="334"/>
    </row>
    <row r="14" spans="1:9" s="122" customFormat="1" ht="12.75">
      <c r="A14" s="140" t="s">
        <v>80</v>
      </c>
      <c r="B14" s="337">
        <f>SUM('[2]Sammanfattning augusti'!$C$22)</f>
        <v>270</v>
      </c>
      <c r="C14" s="337">
        <v>335</v>
      </c>
      <c r="D14" s="337">
        <v>335</v>
      </c>
      <c r="E14" s="337">
        <f>SUM('[2]Sammanfattning augusti'!$E$22)</f>
        <v>318</v>
      </c>
      <c r="F14" s="141">
        <f t="shared" si="0"/>
        <v>0.8059701492537313</v>
      </c>
      <c r="G14" s="142">
        <f t="shared" si="1"/>
        <v>65</v>
      </c>
      <c r="H14" s="139"/>
      <c r="I14" s="334"/>
    </row>
    <row r="15" spans="1:9" s="193" customFormat="1" ht="12.75">
      <c r="A15" s="149" t="s">
        <v>22</v>
      </c>
      <c r="B15" s="100">
        <f>SUM(B10:B14)</f>
        <v>1395</v>
      </c>
      <c r="C15" s="100">
        <f>SUM(C10:C14)</f>
        <v>1828</v>
      </c>
      <c r="D15" s="100">
        <f>SUM(D10:D14)</f>
        <v>1828</v>
      </c>
      <c r="E15" s="100">
        <f>SUM(E10:E14)</f>
        <v>1901</v>
      </c>
      <c r="F15" s="222">
        <f t="shared" si="0"/>
        <v>0.763129102844639</v>
      </c>
      <c r="G15" s="100">
        <f t="shared" si="1"/>
        <v>433</v>
      </c>
      <c r="H15" s="139"/>
      <c r="I15" s="334"/>
    </row>
    <row r="16" spans="1:9" s="122" customFormat="1" ht="12.75">
      <c r="A16" s="151"/>
      <c r="B16" s="132"/>
      <c r="C16" s="152"/>
      <c r="D16" s="101"/>
      <c r="E16" s="132"/>
      <c r="F16" s="125"/>
      <c r="G16" s="102"/>
      <c r="H16" s="139"/>
      <c r="I16" s="334"/>
    </row>
    <row r="17" spans="1:9" s="122" customFormat="1" ht="12.75">
      <c r="A17" s="153" t="s">
        <v>82</v>
      </c>
      <c r="B17" s="132"/>
      <c r="C17" s="152"/>
      <c r="D17" s="101"/>
      <c r="E17" s="132"/>
      <c r="F17" s="125"/>
      <c r="G17" s="102"/>
      <c r="H17" s="139"/>
      <c r="I17" s="334"/>
    </row>
    <row r="18" spans="1:9" s="122" customFormat="1" ht="12.75">
      <c r="A18" s="140" t="s">
        <v>83</v>
      </c>
      <c r="B18" s="123">
        <f>SUM('[2]Sammanfattning augusti'!$C$26)</f>
        <v>489</v>
      </c>
      <c r="C18" s="123">
        <v>532</v>
      </c>
      <c r="D18" s="123">
        <v>532</v>
      </c>
      <c r="E18" s="123">
        <f>SUM('[2]Sammanfattning augusti'!$E$26)</f>
        <v>519</v>
      </c>
      <c r="F18" s="141">
        <f t="shared" si="0"/>
        <v>0.9191729323308271</v>
      </c>
      <c r="G18" s="142">
        <f t="shared" si="1"/>
        <v>43</v>
      </c>
      <c r="H18" s="139"/>
      <c r="I18" s="334"/>
    </row>
    <row r="19" spans="1:9" s="122" customFormat="1" ht="12.75">
      <c r="A19" s="124" t="s">
        <v>84</v>
      </c>
      <c r="B19" s="99">
        <f>SUM('[2]Sammanfattning augusti'!$C$27)</f>
        <v>131</v>
      </c>
      <c r="C19" s="99">
        <v>211</v>
      </c>
      <c r="D19" s="99">
        <v>211</v>
      </c>
      <c r="E19" s="99">
        <f>SUM('[2]Sammanfattning augusti'!$E$27)</f>
        <v>201</v>
      </c>
      <c r="F19" s="125">
        <f t="shared" si="0"/>
        <v>0.6208530805687204</v>
      </c>
      <c r="G19" s="218">
        <f t="shared" si="1"/>
        <v>80</v>
      </c>
      <c r="H19" s="139"/>
      <c r="I19" s="338"/>
    </row>
    <row r="20" spans="1:9" s="122" customFormat="1" ht="12.75">
      <c r="A20" s="140" t="s">
        <v>85</v>
      </c>
      <c r="B20" s="123">
        <f>SUM('[2]Sammanfattning augusti'!$C$28)</f>
        <v>16</v>
      </c>
      <c r="C20" s="123">
        <v>75</v>
      </c>
      <c r="D20" s="123">
        <v>75</v>
      </c>
      <c r="E20" s="123">
        <f>SUM('[2]Sammanfattning augusti'!$E$28)</f>
        <v>19</v>
      </c>
      <c r="F20" s="141">
        <f t="shared" si="0"/>
        <v>0.21333333333333335</v>
      </c>
      <c r="G20" s="142">
        <f t="shared" si="1"/>
        <v>59</v>
      </c>
      <c r="H20" s="139"/>
      <c r="I20" s="334"/>
    </row>
    <row r="21" spans="1:9" s="122" customFormat="1" ht="12.75">
      <c r="A21" s="124" t="s">
        <v>25</v>
      </c>
      <c r="B21" s="99">
        <f>SUM('[2]Sammanfattning augusti'!$C$29)</f>
        <v>768</v>
      </c>
      <c r="C21" s="99">
        <v>2070</v>
      </c>
      <c r="D21" s="99">
        <v>2070</v>
      </c>
      <c r="E21" s="99">
        <f>SUM('[2]Sammanfattning augusti'!$E$29)</f>
        <v>2070</v>
      </c>
      <c r="F21" s="125">
        <f t="shared" si="0"/>
        <v>0.3710144927536232</v>
      </c>
      <c r="G21" s="102">
        <f t="shared" si="1"/>
        <v>1302</v>
      </c>
      <c r="H21" s="139"/>
      <c r="I21" s="334"/>
    </row>
    <row r="22" spans="1:9" s="122" customFormat="1" ht="12.75">
      <c r="A22" s="140" t="s">
        <v>123</v>
      </c>
      <c r="B22" s="123">
        <f>SUM('[2]Sammanfattning augusti'!$C$30)</f>
        <v>295</v>
      </c>
      <c r="C22" s="123">
        <v>833</v>
      </c>
      <c r="D22" s="123">
        <v>833</v>
      </c>
      <c r="E22" s="123">
        <f>SUM('[2]Sammanfattning augusti'!$E$30)</f>
        <v>505</v>
      </c>
      <c r="F22" s="141">
        <f t="shared" si="0"/>
        <v>0.35414165666266506</v>
      </c>
      <c r="G22" s="142">
        <f t="shared" si="1"/>
        <v>538</v>
      </c>
      <c r="H22" s="139"/>
      <c r="I22" s="334"/>
    </row>
    <row r="23" spans="1:9" s="122" customFormat="1" ht="12" customHeight="1">
      <c r="A23" s="124" t="s">
        <v>109</v>
      </c>
      <c r="B23" s="99">
        <f>SUM('[2]Sammanfattning augusti'!$C$31)</f>
        <v>767</v>
      </c>
      <c r="C23" s="99">
        <v>640</v>
      </c>
      <c r="D23" s="99">
        <v>640</v>
      </c>
      <c r="E23" s="99">
        <f>SUM('[2]Sammanfattning augusti'!$E$31)</f>
        <v>767</v>
      </c>
      <c r="F23" s="125">
        <f t="shared" si="0"/>
        <v>1.1984375</v>
      </c>
      <c r="G23" s="102">
        <f>+C23-B23</f>
        <v>-127</v>
      </c>
      <c r="H23" s="139"/>
      <c r="I23" s="334"/>
    </row>
    <row r="24" spans="1:9" s="122" customFormat="1" ht="12.75">
      <c r="A24" s="140" t="s">
        <v>116</v>
      </c>
      <c r="B24" s="123">
        <f>SUM('[2]Sammanfattning augusti'!$C$32)</f>
        <v>335</v>
      </c>
      <c r="C24" s="123">
        <v>607</v>
      </c>
      <c r="D24" s="123">
        <v>607</v>
      </c>
      <c r="E24" s="123">
        <f>SUM('[2]Sammanfattning augusti'!$E$32)</f>
        <v>532</v>
      </c>
      <c r="F24" s="141">
        <f t="shared" si="0"/>
        <v>0.5518945634266886</v>
      </c>
      <c r="G24" s="142">
        <f>+C24-B24</f>
        <v>272</v>
      </c>
      <c r="H24" s="139"/>
      <c r="I24" s="334"/>
    </row>
    <row r="25" spans="1:9" s="193" customFormat="1" ht="12.75">
      <c r="A25" s="149" t="s">
        <v>22</v>
      </c>
      <c r="B25" s="100">
        <f>SUM(B18:B24)</f>
        <v>2801</v>
      </c>
      <c r="C25" s="100">
        <f>SUM(C18:C24)</f>
        <v>4968</v>
      </c>
      <c r="D25" s="100">
        <f>SUM(D18:D24)</f>
        <v>4968</v>
      </c>
      <c r="E25" s="100">
        <f>SUM(E18:E24)</f>
        <v>4613</v>
      </c>
      <c r="F25" s="222">
        <f t="shared" si="0"/>
        <v>0.5638083735909822</v>
      </c>
      <c r="G25" s="100">
        <f t="shared" si="1"/>
        <v>2167</v>
      </c>
      <c r="H25" s="1"/>
      <c r="I25" s="196"/>
    </row>
    <row r="26" spans="1:10" ht="12.75">
      <c r="A26" s="124"/>
      <c r="B26" s="133"/>
      <c r="C26" s="102"/>
      <c r="D26" s="102"/>
      <c r="E26" s="133"/>
      <c r="F26" s="125"/>
      <c r="G26" s="102"/>
      <c r="H26" s="1"/>
      <c r="I26" s="196"/>
      <c r="J26" s="122"/>
    </row>
    <row r="27" spans="1:13" ht="12.75">
      <c r="A27" s="153" t="s">
        <v>86</v>
      </c>
      <c r="B27" s="132"/>
      <c r="C27" s="101"/>
      <c r="D27" s="101"/>
      <c r="E27" s="132"/>
      <c r="F27" s="125"/>
      <c r="G27" s="102"/>
      <c r="H27" s="1"/>
      <c r="I27" s="196"/>
      <c r="M27" s="122"/>
    </row>
    <row r="28" spans="1:9" ht="12.75">
      <c r="A28" s="168" t="s">
        <v>87</v>
      </c>
      <c r="B28" s="169">
        <f>SUM('[2]Sammanfattning augusti'!$C$36)</f>
        <v>55</v>
      </c>
      <c r="C28" s="170">
        <v>126</v>
      </c>
      <c r="D28" s="170">
        <v>126</v>
      </c>
      <c r="E28" s="169">
        <f>SUM('[2]Sammanfattning augusti'!$E$36)</f>
        <v>110</v>
      </c>
      <c r="F28" s="141">
        <f t="shared" si="0"/>
        <v>0.4365079365079365</v>
      </c>
      <c r="G28" s="142">
        <f t="shared" si="1"/>
        <v>71</v>
      </c>
      <c r="H28" s="1"/>
      <c r="I28" s="196"/>
    </row>
    <row r="29" spans="1:9" s="122" customFormat="1" ht="12.75">
      <c r="A29" s="154" t="s">
        <v>88</v>
      </c>
      <c r="B29" s="134">
        <f>SUM('[2]Sammanfattning augusti'!$C$37)</f>
        <v>11</v>
      </c>
      <c r="C29" s="101">
        <v>31</v>
      </c>
      <c r="D29" s="101">
        <v>31</v>
      </c>
      <c r="E29" s="134">
        <f>SUM('[2]Sammanfattning augusti'!$E$37)</f>
        <v>21</v>
      </c>
      <c r="F29" s="125">
        <f t="shared" si="0"/>
        <v>0.3548387096774194</v>
      </c>
      <c r="G29" s="102">
        <f t="shared" si="1"/>
        <v>20</v>
      </c>
      <c r="H29" s="1"/>
      <c r="I29" s="196"/>
    </row>
    <row r="30" spans="1:9" ht="12.75">
      <c r="A30" s="168" t="s">
        <v>89</v>
      </c>
      <c r="B30" s="169">
        <f>SUM('[2]Sammanfattning augusti'!$C$38)</f>
        <v>5</v>
      </c>
      <c r="C30" s="170">
        <v>18</v>
      </c>
      <c r="D30" s="170">
        <v>18</v>
      </c>
      <c r="E30" s="169">
        <f>SUM('[2]Sammanfattning augusti'!$E$38)</f>
        <v>16</v>
      </c>
      <c r="F30" s="141">
        <f t="shared" si="0"/>
        <v>0.2777777777777778</v>
      </c>
      <c r="G30" s="142">
        <f t="shared" si="1"/>
        <v>13</v>
      </c>
      <c r="H30" s="1"/>
      <c r="I30" s="196"/>
    </row>
    <row r="31" spans="1:9" ht="12.75">
      <c r="A31" s="154" t="s">
        <v>126</v>
      </c>
      <c r="B31" s="134">
        <f>SUM('[2]Sammanfattning augusti'!$C$39)</f>
        <v>28</v>
      </c>
      <c r="C31" s="101">
        <v>188</v>
      </c>
      <c r="D31" s="101">
        <v>188</v>
      </c>
      <c r="E31" s="134">
        <f>SUM('[2]Sammanfattning augusti'!$E$39)</f>
        <v>112</v>
      </c>
      <c r="F31" s="125">
        <f t="shared" si="0"/>
        <v>0.14893617021276595</v>
      </c>
      <c r="G31" s="102">
        <f t="shared" si="1"/>
        <v>160</v>
      </c>
      <c r="H31" s="1"/>
      <c r="I31" s="196"/>
    </row>
    <row r="32" spans="1:9" ht="12.75">
      <c r="A32" s="168" t="s">
        <v>127</v>
      </c>
      <c r="B32" s="169">
        <f>SUM('[2]Sammanfattning augusti'!$C$40)</f>
        <v>136</v>
      </c>
      <c r="C32" s="170">
        <v>191</v>
      </c>
      <c r="D32" s="170">
        <v>191</v>
      </c>
      <c r="E32" s="169">
        <f>SUM('[2]Sammanfattning augusti'!$E$40)</f>
        <v>194</v>
      </c>
      <c r="F32" s="141">
        <f t="shared" si="0"/>
        <v>0.7120418848167539</v>
      </c>
      <c r="G32" s="142">
        <f t="shared" si="1"/>
        <v>55</v>
      </c>
      <c r="H32" s="1"/>
      <c r="I32" s="196"/>
    </row>
    <row r="33" spans="1:9" s="122" customFormat="1" ht="12.75">
      <c r="A33" s="154" t="s">
        <v>128</v>
      </c>
      <c r="B33" s="134">
        <f>SUM('[2]Sammanfattning augusti'!$C$41)</f>
        <v>22</v>
      </c>
      <c r="C33" s="101">
        <v>148</v>
      </c>
      <c r="D33" s="101">
        <v>148</v>
      </c>
      <c r="E33" s="134">
        <f>SUM('[2]Sammanfattning augusti'!$E$41)</f>
        <v>122</v>
      </c>
      <c r="F33" s="125">
        <f t="shared" si="0"/>
        <v>0.14864864864864866</v>
      </c>
      <c r="G33" s="102">
        <f t="shared" si="1"/>
        <v>126</v>
      </c>
      <c r="H33" s="1"/>
      <c r="I33" s="196"/>
    </row>
    <row r="34" spans="1:9" ht="12.75">
      <c r="A34" s="168" t="s">
        <v>129</v>
      </c>
      <c r="B34" s="169">
        <f>SUM('[2]Sammanfattning augusti'!$C$42)</f>
        <v>84</v>
      </c>
      <c r="C34" s="170">
        <v>372</v>
      </c>
      <c r="D34" s="170">
        <v>372</v>
      </c>
      <c r="E34" s="169">
        <f>SUM('[2]Sammanfattning augusti'!$E$42)</f>
        <v>425</v>
      </c>
      <c r="F34" s="141">
        <f t="shared" si="0"/>
        <v>0.22580645161290322</v>
      </c>
      <c r="G34" s="142">
        <f t="shared" si="1"/>
        <v>288</v>
      </c>
      <c r="H34" s="1"/>
      <c r="I34" s="196"/>
    </row>
    <row r="35" spans="1:9" s="122" customFormat="1" ht="12.75">
      <c r="A35" s="124" t="s">
        <v>61</v>
      </c>
      <c r="B35" s="99">
        <f>SUM('[2]Sammanfattning augusti'!$C$43)</f>
        <v>48</v>
      </c>
      <c r="C35" s="99">
        <v>275</v>
      </c>
      <c r="D35" s="99">
        <v>275</v>
      </c>
      <c r="E35" s="99">
        <f>SUM('[2]Sammanfattning augusti'!$E$43)</f>
        <v>123</v>
      </c>
      <c r="F35" s="125">
        <f t="shared" si="0"/>
        <v>0.17454545454545456</v>
      </c>
      <c r="G35" s="102">
        <f t="shared" si="1"/>
        <v>227</v>
      </c>
      <c r="H35" s="1"/>
      <c r="I35" s="196"/>
    </row>
    <row r="36" spans="1:10" s="193" customFormat="1" ht="12.75">
      <c r="A36" s="149" t="s">
        <v>22</v>
      </c>
      <c r="B36" s="100">
        <f>SUM(B28:B35)</f>
        <v>389</v>
      </c>
      <c r="C36" s="100">
        <f>SUM(C28:C35)</f>
        <v>1349</v>
      </c>
      <c r="D36" s="100">
        <f>SUM(D28:D35)</f>
        <v>1349</v>
      </c>
      <c r="E36" s="100">
        <f>SUM(E28:E35)</f>
        <v>1123</v>
      </c>
      <c r="F36" s="222">
        <f t="shared" si="0"/>
        <v>0.2883617494440326</v>
      </c>
      <c r="G36" s="100">
        <f t="shared" si="1"/>
        <v>960</v>
      </c>
      <c r="H36" s="1"/>
      <c r="I36" s="196"/>
      <c r="J36" s="194"/>
    </row>
    <row r="37" spans="1:9" ht="12.75">
      <c r="A37" s="154"/>
      <c r="B37" s="132"/>
      <c r="C37" s="101"/>
      <c r="D37" s="101"/>
      <c r="E37" s="132"/>
      <c r="F37" s="125"/>
      <c r="G37" s="102"/>
      <c r="H37" s="1"/>
      <c r="I37" s="196"/>
    </row>
    <row r="38" spans="1:9" ht="12.75">
      <c r="A38" s="153" t="s">
        <v>42</v>
      </c>
      <c r="B38" s="132"/>
      <c r="C38" s="101"/>
      <c r="D38" s="101"/>
      <c r="E38" s="132"/>
      <c r="F38" s="125"/>
      <c r="G38" s="102"/>
      <c r="H38" s="1"/>
      <c r="I38" s="196"/>
    </row>
    <row r="39" spans="1:9" ht="12.75">
      <c r="A39" s="140" t="s">
        <v>56</v>
      </c>
      <c r="B39" s="123">
        <f>SUM('[2]Sammanfattning augusti'!$C$47)</f>
        <v>186</v>
      </c>
      <c r="C39" s="123">
        <v>195</v>
      </c>
      <c r="D39" s="123">
        <v>195</v>
      </c>
      <c r="E39" s="123">
        <f>SUM('[2]Sammanfattning augusti'!$E$47)</f>
        <v>186</v>
      </c>
      <c r="F39" s="141">
        <f t="shared" si="0"/>
        <v>0.9538461538461539</v>
      </c>
      <c r="G39" s="142">
        <f t="shared" si="1"/>
        <v>9</v>
      </c>
      <c r="H39" s="1"/>
      <c r="I39" s="196"/>
    </row>
    <row r="40" spans="1:9" s="122" customFormat="1" ht="12.75">
      <c r="A40" s="124" t="s">
        <v>59</v>
      </c>
      <c r="B40" s="99">
        <f>SUM('[2]Sammanfattning augusti'!$C$48)</f>
        <v>0</v>
      </c>
      <c r="C40" s="99">
        <v>10</v>
      </c>
      <c r="D40" s="99">
        <v>10</v>
      </c>
      <c r="E40" s="99">
        <f>SUM('[2]Sammanfattning augusti'!$E$48)</f>
        <v>5</v>
      </c>
      <c r="F40" s="125">
        <f t="shared" si="0"/>
        <v>0</v>
      </c>
      <c r="G40" s="102">
        <f t="shared" si="1"/>
        <v>10</v>
      </c>
      <c r="H40" s="1"/>
      <c r="I40" s="196"/>
    </row>
    <row r="41" spans="1:9" ht="12.75">
      <c r="A41" s="140" t="s">
        <v>90</v>
      </c>
      <c r="B41" s="123">
        <f>SUM('[2]Sammanfattning augusti'!$C$49)</f>
        <v>82</v>
      </c>
      <c r="C41" s="123">
        <v>70</v>
      </c>
      <c r="D41" s="123">
        <v>70</v>
      </c>
      <c r="E41" s="123">
        <f>SUM('[2]Sammanfattning augusti'!$E$49)</f>
        <v>95</v>
      </c>
      <c r="F41" s="141">
        <f t="shared" si="0"/>
        <v>1.1714285714285715</v>
      </c>
      <c r="G41" s="142">
        <f t="shared" si="1"/>
        <v>-12</v>
      </c>
      <c r="H41" s="1"/>
      <c r="I41" s="196"/>
    </row>
    <row r="42" spans="1:9" s="122" customFormat="1" ht="12.75">
      <c r="A42" s="124" t="s">
        <v>62</v>
      </c>
      <c r="B42" s="99">
        <f>SUM('[2]Sammanfattning augusti'!$C$50)</f>
        <v>76</v>
      </c>
      <c r="C42" s="99">
        <v>360</v>
      </c>
      <c r="D42" s="99">
        <v>360</v>
      </c>
      <c r="E42" s="99">
        <f>SUM('[2]Sammanfattning augusti'!$E$50)</f>
        <v>360</v>
      </c>
      <c r="F42" s="125">
        <f t="shared" si="0"/>
        <v>0.2111111111111111</v>
      </c>
      <c r="G42" s="102">
        <f t="shared" si="1"/>
        <v>284</v>
      </c>
      <c r="H42" s="1"/>
      <c r="I42" s="196"/>
    </row>
    <row r="43" spans="1:9" ht="12.75">
      <c r="A43" s="140" t="s">
        <v>57</v>
      </c>
      <c r="B43" s="123">
        <f>SUM('[2]Sammanfattning augusti'!$C$51)</f>
        <v>145</v>
      </c>
      <c r="C43" s="123">
        <v>305</v>
      </c>
      <c r="D43" s="123">
        <v>305</v>
      </c>
      <c r="E43" s="123">
        <f>SUM('[2]Sammanfattning augusti'!$E$51)</f>
        <v>298</v>
      </c>
      <c r="F43" s="141">
        <f t="shared" si="0"/>
        <v>0.47540983606557374</v>
      </c>
      <c r="G43" s="142">
        <f t="shared" si="1"/>
        <v>160</v>
      </c>
      <c r="H43" s="1"/>
      <c r="I43" s="196"/>
    </row>
    <row r="44" spans="1:9" s="122" customFormat="1" ht="12.75">
      <c r="A44" s="124" t="s">
        <v>58</v>
      </c>
      <c r="B44" s="99">
        <f>SUM('[2]Sammanfattning augusti'!$C$52)</f>
        <v>3</v>
      </c>
      <c r="C44" s="99">
        <v>40</v>
      </c>
      <c r="D44" s="99">
        <v>40</v>
      </c>
      <c r="E44" s="99">
        <f>SUM('[2]Sammanfattning augusti'!$E$52)</f>
        <v>40</v>
      </c>
      <c r="F44" s="125">
        <f t="shared" si="0"/>
        <v>0.075</v>
      </c>
      <c r="G44" s="102">
        <f t="shared" si="1"/>
        <v>37</v>
      </c>
      <c r="H44" s="1"/>
      <c r="I44" s="196"/>
    </row>
    <row r="45" spans="1:9" ht="12.75">
      <c r="A45" s="140" t="s">
        <v>91</v>
      </c>
      <c r="B45" s="123">
        <f>SUM('[2]Sammanfattning augusti'!$C$53)</f>
        <v>4</v>
      </c>
      <c r="C45" s="123">
        <v>20</v>
      </c>
      <c r="D45" s="123">
        <v>20</v>
      </c>
      <c r="E45" s="123">
        <f>SUM('[2]Sammanfattning augusti'!$E$53)</f>
        <v>20</v>
      </c>
      <c r="F45" s="141">
        <f t="shared" si="0"/>
        <v>0.2</v>
      </c>
      <c r="G45" s="142">
        <f t="shared" si="1"/>
        <v>16</v>
      </c>
      <c r="H45" s="1"/>
      <c r="I45" s="196"/>
    </row>
    <row r="46" spans="1:9" s="122" customFormat="1" ht="12.75">
      <c r="A46" s="124" t="s">
        <v>60</v>
      </c>
      <c r="B46" s="99">
        <f>SUM('[2]Sammanfattning augusti'!$C$54)</f>
        <v>29</v>
      </c>
      <c r="C46" s="99">
        <v>30</v>
      </c>
      <c r="D46" s="99">
        <v>30</v>
      </c>
      <c r="E46" s="99">
        <f>SUM('[2]Sammanfattning augusti'!$E$54)</f>
        <v>40</v>
      </c>
      <c r="F46" s="125">
        <f t="shared" si="0"/>
        <v>0.9666666666666667</v>
      </c>
      <c r="G46" s="102">
        <f t="shared" si="1"/>
        <v>1</v>
      </c>
      <c r="H46" s="1"/>
      <c r="I46" s="196"/>
    </row>
    <row r="47" spans="1:9" s="122" customFormat="1" ht="12.75">
      <c r="A47" s="140" t="s">
        <v>130</v>
      </c>
      <c r="B47" s="123">
        <f>SUM('[2]Sammanfattning augusti'!$C$55)</f>
        <v>1</v>
      </c>
      <c r="C47" s="123">
        <v>350</v>
      </c>
      <c r="D47" s="123">
        <v>350</v>
      </c>
      <c r="E47" s="123">
        <f>SUM('[2]Sammanfattning augusti'!$E$55)</f>
        <v>40</v>
      </c>
      <c r="F47" s="125">
        <f t="shared" si="0"/>
        <v>0.002857142857142857</v>
      </c>
      <c r="G47" s="102">
        <f t="shared" si="1"/>
        <v>349</v>
      </c>
      <c r="H47" s="1"/>
      <c r="I47" s="196"/>
    </row>
    <row r="48" spans="1:9" s="26" customFormat="1" ht="12.75">
      <c r="A48" s="149" t="s">
        <v>22</v>
      </c>
      <c r="B48" s="100">
        <f>SUM(B39:B47)</f>
        <v>526</v>
      </c>
      <c r="C48" s="100">
        <f>SUM(C39:C47)</f>
        <v>1380</v>
      </c>
      <c r="D48" s="100">
        <f>SUM(D39:D47)</f>
        <v>1380</v>
      </c>
      <c r="E48" s="100">
        <f>SUM(E39:E47)</f>
        <v>1084</v>
      </c>
      <c r="F48" s="222">
        <f t="shared" si="0"/>
        <v>0.38115942028985506</v>
      </c>
      <c r="G48" s="100">
        <f t="shared" si="1"/>
        <v>854</v>
      </c>
      <c r="H48" s="1"/>
      <c r="I48" s="196"/>
    </row>
    <row r="49" spans="1:9" ht="12.75">
      <c r="A49" s="124"/>
      <c r="B49" s="133"/>
      <c r="C49" s="102"/>
      <c r="D49" s="102"/>
      <c r="E49" s="133"/>
      <c r="F49" s="125"/>
      <c r="G49" s="102"/>
      <c r="H49" s="1"/>
      <c r="I49" s="196"/>
    </row>
    <row r="50" spans="1:9" ht="12.75">
      <c r="A50" s="153" t="s">
        <v>140</v>
      </c>
      <c r="B50" s="132"/>
      <c r="C50" s="101"/>
      <c r="D50" s="101"/>
      <c r="E50" s="132"/>
      <c r="F50" s="125"/>
      <c r="G50" s="102"/>
      <c r="H50" s="1"/>
      <c r="I50" s="196"/>
    </row>
    <row r="51" spans="1:9" ht="12.75">
      <c r="A51" s="168" t="s">
        <v>131</v>
      </c>
      <c r="B51" s="169">
        <v>2793</v>
      </c>
      <c r="C51" s="170">
        <v>4550</v>
      </c>
      <c r="D51" s="170">
        <v>4550</v>
      </c>
      <c r="E51" s="123">
        <f>SUM('[2]Sammanfattning augusti'!$E$59)</f>
        <v>3643</v>
      </c>
      <c r="F51" s="141">
        <f>SUM(B51/C51)</f>
        <v>0.6138461538461538</v>
      </c>
      <c r="G51" s="142">
        <f>+C51-B51</f>
        <v>1757</v>
      </c>
      <c r="H51" s="1"/>
      <c r="I51" s="196"/>
    </row>
    <row r="52" spans="1:9" ht="12.75">
      <c r="A52" s="154" t="s">
        <v>132</v>
      </c>
      <c r="B52" s="134">
        <v>708</v>
      </c>
      <c r="C52" s="101">
        <v>1900</v>
      </c>
      <c r="D52" s="101">
        <v>1680</v>
      </c>
      <c r="E52" s="99">
        <f>SUM('[2]Sammanfattning augusti'!$E$60)</f>
        <v>1537</v>
      </c>
      <c r="F52" s="125">
        <f>SUM(B52/C52)</f>
        <v>0.3726315789473684</v>
      </c>
      <c r="G52" s="102">
        <f>+C52-B52</f>
        <v>1192</v>
      </c>
      <c r="H52" s="1"/>
      <c r="I52" s="196"/>
    </row>
    <row r="53" spans="1:9" ht="12.75">
      <c r="A53" s="168" t="s">
        <v>133</v>
      </c>
      <c r="B53" s="169">
        <f>SUM('[2]Sammanfattning augusti'!$C$61)</f>
        <v>1748</v>
      </c>
      <c r="C53" s="170">
        <v>3315</v>
      </c>
      <c r="D53" s="170">
        <v>3535</v>
      </c>
      <c r="E53" s="123">
        <f>SUM('[2]Sammanfattning augusti'!$E$61)</f>
        <v>3315</v>
      </c>
      <c r="F53" s="141">
        <f>SUM(B53/C53)</f>
        <v>0.5273001508295626</v>
      </c>
      <c r="G53" s="142">
        <f>+C53-B53</f>
        <v>1567</v>
      </c>
      <c r="H53" s="1"/>
      <c r="I53" s="196"/>
    </row>
    <row r="54" spans="1:9" ht="12.75">
      <c r="A54" s="124" t="s">
        <v>3</v>
      </c>
      <c r="B54" s="99">
        <f>SUM('[2]Sammanfattning augusti'!$C$62)</f>
        <v>23</v>
      </c>
      <c r="C54" s="99">
        <v>50</v>
      </c>
      <c r="D54" s="99">
        <v>50</v>
      </c>
      <c r="E54" s="99">
        <f>SUM('[2]Sammanfattning augusti'!$E$62)</f>
        <v>2</v>
      </c>
      <c r="F54" s="125">
        <f>SUM(B54/C54)</f>
        <v>0.46</v>
      </c>
      <c r="G54" s="102">
        <f>+C54-B54</f>
        <v>27</v>
      </c>
      <c r="H54" s="1"/>
      <c r="I54" s="196"/>
    </row>
    <row r="55" spans="1:9" ht="12.75">
      <c r="A55" s="140" t="s">
        <v>134</v>
      </c>
      <c r="B55" s="123">
        <f>SUM('[2]Sammanfattning augusti'!$C$63)</f>
        <v>70</v>
      </c>
      <c r="C55" s="123">
        <v>195</v>
      </c>
      <c r="D55" s="123">
        <v>195</v>
      </c>
      <c r="E55" s="123">
        <f>SUM('[2]Sammanfattning augusti'!$E$63)</f>
        <v>195</v>
      </c>
      <c r="F55" s="141">
        <f>SUM(B55/C55)</f>
        <v>0.358974358974359</v>
      </c>
      <c r="G55" s="142">
        <f>+C55-B55</f>
        <v>125</v>
      </c>
      <c r="H55" s="1"/>
      <c r="I55" s="196"/>
    </row>
    <row r="56" spans="1:9" s="29" customFormat="1" ht="12.75">
      <c r="A56" s="155" t="s">
        <v>104</v>
      </c>
      <c r="B56" s="103">
        <f>SUM('[2]Sammanfattning augusti'!$C$64)</f>
        <v>-547</v>
      </c>
      <c r="C56" s="103">
        <v>-820</v>
      </c>
      <c r="D56" s="103">
        <v>-820</v>
      </c>
      <c r="E56" s="103">
        <f>SUM('[2]Sammanfattning augusti'!$E$64)</f>
        <v>-765</v>
      </c>
      <c r="F56" s="125">
        <f t="shared" si="0"/>
        <v>0.6670731707317074</v>
      </c>
      <c r="G56" s="156">
        <f t="shared" si="1"/>
        <v>-273</v>
      </c>
      <c r="H56" s="1"/>
      <c r="I56" s="196"/>
    </row>
    <row r="57" spans="1:9" ht="12.75">
      <c r="A57" s="149" t="s">
        <v>22</v>
      </c>
      <c r="B57" s="100">
        <f>SUM(B51:B56)</f>
        <v>4795</v>
      </c>
      <c r="C57" s="100">
        <f>SUM(C51:C56)</f>
        <v>9190</v>
      </c>
      <c r="D57" s="104">
        <f>SUM(D51:D56)</f>
        <v>9190</v>
      </c>
      <c r="E57" s="100">
        <f>SUM(E51:E56)</f>
        <v>7927</v>
      </c>
      <c r="F57" s="222">
        <f t="shared" si="0"/>
        <v>0.5217627856365615</v>
      </c>
      <c r="G57" s="150">
        <f t="shared" si="1"/>
        <v>4395</v>
      </c>
      <c r="H57" s="1"/>
      <c r="I57" s="196"/>
    </row>
    <row r="58" spans="1:9" ht="12.75">
      <c r="A58" s="157"/>
      <c r="B58" s="105"/>
      <c r="C58" s="105"/>
      <c r="D58" s="105"/>
      <c r="E58" s="105"/>
      <c r="F58" s="125"/>
      <c r="G58" s="158"/>
      <c r="H58" s="1"/>
      <c r="I58" s="196"/>
    </row>
    <row r="59" spans="1:9" s="26" customFormat="1" ht="12.75">
      <c r="A59" s="159" t="s">
        <v>43</v>
      </c>
      <c r="B59" s="135">
        <f>SUM(B15+B25+B36+B48+B57)</f>
        <v>9906</v>
      </c>
      <c r="C59" s="100">
        <f>SUM(C15+C25+C36+C48+C57)</f>
        <v>18715</v>
      </c>
      <c r="D59" s="100">
        <f>SUM(D15+D25+D36+D48+D57)</f>
        <v>18715</v>
      </c>
      <c r="E59" s="100">
        <f>SUM(E15+E25+E36+E48+E57)</f>
        <v>16648</v>
      </c>
      <c r="F59" s="222">
        <f t="shared" si="0"/>
        <v>0.5293080416777985</v>
      </c>
      <c r="G59" s="219">
        <f t="shared" si="1"/>
        <v>8809</v>
      </c>
      <c r="H59" s="1"/>
      <c r="I59" s="196"/>
    </row>
    <row r="60" spans="1:9" ht="12.75">
      <c r="A60" s="124"/>
      <c r="B60" s="136"/>
      <c r="C60" s="106"/>
      <c r="D60" s="106"/>
      <c r="E60" s="136"/>
      <c r="F60" s="126"/>
      <c r="G60" s="106"/>
      <c r="H60" s="1"/>
      <c r="I60" s="196"/>
    </row>
    <row r="61" spans="1:9" ht="12.75">
      <c r="A61" s="124"/>
      <c r="B61" s="136"/>
      <c r="C61" s="106"/>
      <c r="D61" s="106"/>
      <c r="E61" s="136"/>
      <c r="F61" s="126"/>
      <c r="G61" s="106"/>
      <c r="H61" s="1"/>
      <c r="I61" s="196"/>
    </row>
    <row r="62" spans="1:9" ht="12.75">
      <c r="A62" s="124"/>
      <c r="B62" s="136"/>
      <c r="C62" s="106"/>
      <c r="D62" s="106"/>
      <c r="E62" s="136"/>
      <c r="F62" s="126"/>
      <c r="G62" s="106"/>
      <c r="H62" s="1"/>
      <c r="I62" s="196"/>
    </row>
    <row r="63" spans="1:9" ht="12.75">
      <c r="A63" s="153" t="s">
        <v>92</v>
      </c>
      <c r="B63" s="132"/>
      <c r="C63" s="101"/>
      <c r="D63" s="101"/>
      <c r="E63" s="132"/>
      <c r="F63" s="125"/>
      <c r="G63" s="102"/>
      <c r="H63" s="1"/>
      <c r="I63" s="196"/>
    </row>
    <row r="64" spans="1:9" ht="12.75">
      <c r="A64" s="140" t="s">
        <v>44</v>
      </c>
      <c r="B64" s="123">
        <f>SUM('[2]Sammanfattning augusti'!$C$68)</f>
        <v>1657</v>
      </c>
      <c r="C64" s="123">
        <v>2520</v>
      </c>
      <c r="D64" s="123">
        <v>2520</v>
      </c>
      <c r="E64" s="123">
        <f>SUM('[2]Sammanfattning augusti'!$E$68)</f>
        <v>2496</v>
      </c>
      <c r="F64" s="141">
        <f t="shared" si="0"/>
        <v>0.6575396825396825</v>
      </c>
      <c r="G64" s="142">
        <f t="shared" si="1"/>
        <v>863</v>
      </c>
      <c r="H64" s="1"/>
      <c r="I64" s="196"/>
    </row>
    <row r="65" spans="1:10" s="122" customFormat="1" ht="12.75">
      <c r="A65" s="124" t="s">
        <v>93</v>
      </c>
      <c r="B65" s="99">
        <f>SUM('[2]Sammanfattning augusti'!$C$69)</f>
        <v>35</v>
      </c>
      <c r="C65" s="99">
        <v>70</v>
      </c>
      <c r="D65" s="99">
        <v>70</v>
      </c>
      <c r="E65" s="99">
        <f>SUM('[2]Sammanfattning augusti'!$E$69)</f>
        <v>149</v>
      </c>
      <c r="F65" s="125">
        <f t="shared" si="0"/>
        <v>0.5</v>
      </c>
      <c r="G65" s="102">
        <f t="shared" si="1"/>
        <v>35</v>
      </c>
      <c r="H65" s="1"/>
      <c r="I65" s="196"/>
      <c r="J65" s="139"/>
    </row>
    <row r="66" spans="1:10" ht="12.75">
      <c r="A66" s="140" t="s">
        <v>94</v>
      </c>
      <c r="B66" s="123">
        <f>SUM('[2]Sammanfattning augusti'!$C$70)</f>
        <v>291</v>
      </c>
      <c r="C66" s="123">
        <v>730</v>
      </c>
      <c r="D66" s="123">
        <v>730</v>
      </c>
      <c r="E66" s="123">
        <f>SUM('[2]Sammanfattning augusti'!$E$70)</f>
        <v>713</v>
      </c>
      <c r="F66" s="141">
        <f t="shared" si="0"/>
        <v>0.39863013698630134</v>
      </c>
      <c r="G66" s="142">
        <f t="shared" si="1"/>
        <v>439</v>
      </c>
      <c r="H66" s="1"/>
      <c r="I66" s="196"/>
      <c r="J66" s="1"/>
    </row>
    <row r="67" spans="1:10" s="122" customFormat="1" ht="12.75">
      <c r="A67" s="124" t="s">
        <v>45</v>
      </c>
      <c r="B67" s="127">
        <f>SUM('[2]Sammanfattning augusti'!$C$71)</f>
        <v>79</v>
      </c>
      <c r="C67" s="127">
        <v>80</v>
      </c>
      <c r="D67" s="127">
        <v>80</v>
      </c>
      <c r="E67" s="127">
        <f>SUM('[2]Sammanfattning augusti'!$E$71)</f>
        <v>140</v>
      </c>
      <c r="F67" s="125">
        <f t="shared" si="0"/>
        <v>0.9875</v>
      </c>
      <c r="G67" s="102">
        <f t="shared" si="1"/>
        <v>1</v>
      </c>
      <c r="H67" s="1"/>
      <c r="I67" s="196"/>
      <c r="J67" s="139"/>
    </row>
    <row r="68" spans="1:10" ht="12.75">
      <c r="A68" s="140" t="s">
        <v>46</v>
      </c>
      <c r="B68" s="123">
        <f>SUM('[2]Sammanfattning augusti'!$C$72)</f>
        <v>494</v>
      </c>
      <c r="C68" s="123">
        <v>740</v>
      </c>
      <c r="D68" s="123">
        <v>740</v>
      </c>
      <c r="E68" s="123">
        <f>SUM('[2]Sammanfattning augusti'!$E$72)</f>
        <v>600</v>
      </c>
      <c r="F68" s="141">
        <f t="shared" si="0"/>
        <v>0.6675675675675675</v>
      </c>
      <c r="G68" s="142">
        <f t="shared" si="1"/>
        <v>246</v>
      </c>
      <c r="H68" s="1"/>
      <c r="I68" s="196"/>
      <c r="J68" s="1"/>
    </row>
    <row r="69" spans="1:9" s="122" customFormat="1" ht="12.75">
      <c r="A69" s="124" t="s">
        <v>95</v>
      </c>
      <c r="B69" s="99">
        <f>SUM('[2]Sammanfattning augusti'!$C$73)</f>
        <v>8770</v>
      </c>
      <c r="C69" s="99">
        <v>14985</v>
      </c>
      <c r="D69" s="99">
        <v>14985</v>
      </c>
      <c r="E69" s="99">
        <f>SUM('[2]Sammanfattning augusti'!$E$73)</f>
        <v>14258</v>
      </c>
      <c r="F69" s="125">
        <f t="shared" si="0"/>
        <v>0.5852519185852519</v>
      </c>
      <c r="G69" s="102">
        <f t="shared" si="1"/>
        <v>6215</v>
      </c>
      <c r="H69" s="1"/>
      <c r="I69" s="196"/>
    </row>
    <row r="70" spans="1:9" ht="12.75">
      <c r="A70" s="149" t="s">
        <v>22</v>
      </c>
      <c r="B70" s="107">
        <f>SUM(B64:B69)</f>
        <v>11326</v>
      </c>
      <c r="C70" s="107">
        <f>SUM(C64:C69)</f>
        <v>19125</v>
      </c>
      <c r="D70" s="107">
        <f>SUM(D64:D69)</f>
        <v>19125</v>
      </c>
      <c r="E70" s="107">
        <f>SUM(E64:E69)</f>
        <v>18356</v>
      </c>
      <c r="F70" s="222">
        <f t="shared" si="0"/>
        <v>0.5922091503267974</v>
      </c>
      <c r="G70" s="150">
        <f t="shared" si="1"/>
        <v>7799</v>
      </c>
      <c r="H70" s="1"/>
      <c r="I70" s="196"/>
    </row>
    <row r="71" spans="1:9" s="27" customFormat="1" ht="12.75">
      <c r="A71" s="157"/>
      <c r="B71" s="108"/>
      <c r="C71" s="108"/>
      <c r="D71" s="108"/>
      <c r="E71" s="108"/>
      <c r="F71" s="126"/>
      <c r="G71" s="106"/>
      <c r="H71" s="1"/>
      <c r="I71" s="196"/>
    </row>
    <row r="72" spans="1:9" s="27" customFormat="1" ht="12.75">
      <c r="A72" s="157"/>
      <c r="B72" s="108"/>
      <c r="C72" s="108"/>
      <c r="D72" s="108"/>
      <c r="E72" s="108"/>
      <c r="F72" s="126"/>
      <c r="G72" s="106"/>
      <c r="H72" s="1"/>
      <c r="I72" s="196"/>
    </row>
    <row r="73" spans="1:9" s="27" customFormat="1" ht="12.75">
      <c r="A73" s="160" t="s">
        <v>47</v>
      </c>
      <c r="B73" s="107">
        <f>SUM(B59+B70)</f>
        <v>21232</v>
      </c>
      <c r="C73" s="110">
        <f>SUM(C59+C70)</f>
        <v>37840</v>
      </c>
      <c r="D73" s="107">
        <f>SUM(D59+D70)</f>
        <v>37840</v>
      </c>
      <c r="E73" s="107">
        <f>SUM(E59+E70)</f>
        <v>35004</v>
      </c>
      <c r="F73" s="222">
        <f t="shared" si="0"/>
        <v>0.5610993657505285</v>
      </c>
      <c r="G73" s="100">
        <f>SUM(G59+G70)</f>
        <v>16608</v>
      </c>
      <c r="H73" s="1"/>
      <c r="I73" s="196"/>
    </row>
    <row r="74" spans="1:9" s="27" customFormat="1" ht="12.75">
      <c r="A74" s="161"/>
      <c r="B74" s="108"/>
      <c r="C74" s="108"/>
      <c r="D74" s="108"/>
      <c r="E74" s="108"/>
      <c r="F74" s="126"/>
      <c r="G74" s="106"/>
      <c r="H74" s="1"/>
      <c r="I74" s="196"/>
    </row>
    <row r="75" spans="1:12" s="27" customFormat="1" ht="12.75">
      <c r="A75" s="161"/>
      <c r="B75" s="108"/>
      <c r="C75" s="108"/>
      <c r="D75" s="108"/>
      <c r="E75" s="108"/>
      <c r="F75" s="126"/>
      <c r="G75" s="106"/>
      <c r="H75" s="1"/>
      <c r="I75" s="196"/>
      <c r="L75" s="171"/>
    </row>
    <row r="76" spans="1:9" s="27" customFormat="1" ht="12.75">
      <c r="A76" s="124"/>
      <c r="B76" s="137"/>
      <c r="C76" s="109"/>
      <c r="D76" s="109"/>
      <c r="E76" s="137"/>
      <c r="F76" s="126"/>
      <c r="G76" s="106"/>
      <c r="H76" s="1"/>
      <c r="I76" s="196"/>
    </row>
    <row r="77" spans="1:9" ht="12.75">
      <c r="A77" s="162" t="s">
        <v>96</v>
      </c>
      <c r="B77" s="132"/>
      <c r="C77" s="101"/>
      <c r="D77" s="101"/>
      <c r="E77" s="132"/>
      <c r="F77" s="125"/>
      <c r="G77" s="102"/>
      <c r="H77" s="1"/>
      <c r="I77" s="196"/>
    </row>
    <row r="78" spans="1:9" ht="12.75">
      <c r="A78" s="140" t="s">
        <v>97</v>
      </c>
      <c r="B78" s="123">
        <f>SUM('[2]Sammanfattning augusti'!$C$77)</f>
        <v>10000</v>
      </c>
      <c r="C78" s="123">
        <v>15000</v>
      </c>
      <c r="D78" s="123">
        <v>15000</v>
      </c>
      <c r="E78" s="123">
        <f>SUM('[2]Sammanfattning augusti'!$E$77)</f>
        <v>15063</v>
      </c>
      <c r="F78" s="141">
        <f t="shared" si="0"/>
        <v>0.6666666666666666</v>
      </c>
      <c r="G78" s="142">
        <f t="shared" si="1"/>
        <v>5000</v>
      </c>
      <c r="H78" s="1"/>
      <c r="I78" s="196"/>
    </row>
    <row r="79" spans="1:9" ht="12.75">
      <c r="A79" s="124" t="s">
        <v>135</v>
      </c>
      <c r="B79" s="99">
        <f>SUM('[2]Sammanfattning augusti'!$C$78)</f>
        <v>128</v>
      </c>
      <c r="C79" s="99"/>
      <c r="D79" s="99"/>
      <c r="E79" s="99">
        <f>SUM('[2]Sammanfattning augusti'!$E$78)</f>
        <v>313</v>
      </c>
      <c r="F79" s="125"/>
      <c r="G79" s="102"/>
      <c r="H79" s="1"/>
      <c r="I79" s="196"/>
    </row>
    <row r="80" spans="1:10" ht="12.75">
      <c r="A80" s="149" t="s">
        <v>22</v>
      </c>
      <c r="B80" s="100">
        <f>SUM(B78:B79)</f>
        <v>10128</v>
      </c>
      <c r="C80" s="100">
        <f>SUM(C78:C78)</f>
        <v>15000</v>
      </c>
      <c r="D80" s="100">
        <f>SUM(D78:D78)</f>
        <v>15000</v>
      </c>
      <c r="E80" s="100">
        <f>SUM(E78:E79)</f>
        <v>15376</v>
      </c>
      <c r="F80" s="222">
        <f aca="true" t="shared" si="2" ref="F80:F96">SUM(B80/C80)</f>
        <v>0.6752</v>
      </c>
      <c r="G80" s="150">
        <f t="shared" si="1"/>
        <v>4872</v>
      </c>
      <c r="H80" s="1"/>
      <c r="I80" s="196"/>
      <c r="J80" s="1"/>
    </row>
    <row r="81" spans="1:10" ht="12.75">
      <c r="A81" s="157"/>
      <c r="B81" s="105"/>
      <c r="C81" s="105"/>
      <c r="D81" s="105"/>
      <c r="E81" s="105"/>
      <c r="F81" s="125"/>
      <c r="G81" s="158"/>
      <c r="H81" s="1"/>
      <c r="I81" s="196"/>
      <c r="J81" s="1"/>
    </row>
    <row r="82" spans="1:10" ht="12.75">
      <c r="A82" s="160" t="s">
        <v>98</v>
      </c>
      <c r="B82" s="100">
        <f>SUM(B80)</f>
        <v>10128</v>
      </c>
      <c r="C82" s="100">
        <f>SUM(C80)</f>
        <v>15000</v>
      </c>
      <c r="D82" s="100">
        <f>SUM(D80)</f>
        <v>15000</v>
      </c>
      <c r="E82" s="100">
        <f>SUM(E80)</f>
        <v>15376</v>
      </c>
      <c r="F82" s="222">
        <f t="shared" si="2"/>
        <v>0.6752</v>
      </c>
      <c r="G82" s="150">
        <f t="shared" si="1"/>
        <v>4872</v>
      </c>
      <c r="H82" s="1"/>
      <c r="I82" s="196"/>
      <c r="J82" s="1"/>
    </row>
    <row r="83" spans="1:9" s="27" customFormat="1" ht="12.75">
      <c r="A83" s="124"/>
      <c r="B83" s="137"/>
      <c r="C83" s="109"/>
      <c r="D83" s="109"/>
      <c r="E83" s="137"/>
      <c r="F83" s="126"/>
      <c r="G83" s="109"/>
      <c r="H83" s="1"/>
      <c r="I83" s="196"/>
    </row>
    <row r="84" spans="1:9" s="27" customFormat="1" ht="12.75">
      <c r="A84" s="149"/>
      <c r="B84" s="110"/>
      <c r="C84" s="110"/>
      <c r="D84" s="110"/>
      <c r="E84" s="110"/>
      <c r="F84" s="163"/>
      <c r="G84" s="110"/>
      <c r="H84" s="1"/>
      <c r="I84" s="196"/>
    </row>
    <row r="85" spans="1:9" ht="12.75">
      <c r="A85" s="160" t="s">
        <v>48</v>
      </c>
      <c r="B85" s="107">
        <f>SUM(B73+B82)</f>
        <v>31360</v>
      </c>
      <c r="C85" s="107">
        <f>SUM(C73+C82)</f>
        <v>52840</v>
      </c>
      <c r="D85" s="107">
        <f>SUM(D73+D82)</f>
        <v>52840</v>
      </c>
      <c r="E85" s="107">
        <f>SUM(E73+E82)</f>
        <v>50380</v>
      </c>
      <c r="F85" s="223">
        <f t="shared" si="2"/>
        <v>0.5934897804693414</v>
      </c>
      <c r="G85" s="220">
        <f>G15+G25+G36+G48+G57+G70+G80+G84</f>
        <v>21480</v>
      </c>
      <c r="H85" s="1"/>
      <c r="I85" s="196"/>
    </row>
    <row r="86" spans="1:8" ht="12.75">
      <c r="A86" s="161"/>
      <c r="B86" s="138"/>
      <c r="C86" s="164"/>
      <c r="D86" s="108"/>
      <c r="E86" s="138"/>
      <c r="F86" s="126"/>
      <c r="G86" s="117"/>
      <c r="H86" s="1"/>
    </row>
    <row r="87" spans="1:8" ht="12.75">
      <c r="A87" s="161"/>
      <c r="B87" s="210"/>
      <c r="C87" s="164"/>
      <c r="D87" s="108"/>
      <c r="E87" s="210"/>
      <c r="F87" s="126"/>
      <c r="G87" s="117"/>
      <c r="H87" s="1"/>
    </row>
    <row r="88" spans="1:8" ht="12.75">
      <c r="A88" s="161"/>
      <c r="B88" s="138"/>
      <c r="C88" s="164"/>
      <c r="D88" s="108"/>
      <c r="E88" s="138"/>
      <c r="F88" s="126"/>
      <c r="G88" s="117"/>
      <c r="H88" s="1"/>
    </row>
    <row r="89" spans="1:8" ht="12.75">
      <c r="A89" s="161"/>
      <c r="B89" s="138"/>
      <c r="C89" s="164"/>
      <c r="D89" s="108"/>
      <c r="E89" s="138"/>
      <c r="F89" s="126"/>
      <c r="G89" s="117"/>
      <c r="H89" s="1"/>
    </row>
    <row r="90" spans="1:8" ht="12.75">
      <c r="A90" s="162" t="s">
        <v>49</v>
      </c>
      <c r="B90" s="121"/>
      <c r="C90" s="121"/>
      <c r="D90" s="112"/>
      <c r="E90" s="121"/>
      <c r="F90" s="163"/>
      <c r="G90" s="221"/>
      <c r="H90" s="1"/>
    </row>
    <row r="91" spans="1:8" ht="12.75">
      <c r="A91" s="151" t="s">
        <v>50</v>
      </c>
      <c r="B91" s="113">
        <f>SUM(B59)</f>
        <v>9906</v>
      </c>
      <c r="C91" s="113">
        <f>SUM(C59)</f>
        <v>18715</v>
      </c>
      <c r="D91" s="113">
        <f>SUM(D59)</f>
        <v>18715</v>
      </c>
      <c r="E91" s="113">
        <f>SUM(E59)</f>
        <v>16648</v>
      </c>
      <c r="F91" s="125">
        <f>SUM(B91/C91)</f>
        <v>0.5293080416777985</v>
      </c>
      <c r="G91" s="114">
        <f>+C91-B91</f>
        <v>8809</v>
      </c>
      <c r="H91" s="1"/>
    </row>
    <row r="92" spans="1:8" ht="12.75">
      <c r="A92" s="151" t="s">
        <v>51</v>
      </c>
      <c r="B92" s="114">
        <f>SUM(B70-B69)</f>
        <v>2556</v>
      </c>
      <c r="C92" s="114">
        <f>SUM(C70-C69)</f>
        <v>4140</v>
      </c>
      <c r="D92" s="114">
        <f>SUM(D70-D69)</f>
        <v>4140</v>
      </c>
      <c r="E92" s="114">
        <f>SUM(E70-E69)</f>
        <v>4098</v>
      </c>
      <c r="F92" s="125">
        <f t="shared" si="2"/>
        <v>0.6173913043478261</v>
      </c>
      <c r="G92" s="114">
        <f>+C92-B92</f>
        <v>1584</v>
      </c>
      <c r="H92" s="1"/>
    </row>
    <row r="93" spans="1:8" ht="12.75">
      <c r="A93" s="151" t="s">
        <v>10</v>
      </c>
      <c r="B93" s="114">
        <f>SUM(B69)</f>
        <v>8770</v>
      </c>
      <c r="C93" s="114">
        <f>SUM(C69)</f>
        <v>14985</v>
      </c>
      <c r="D93" s="114">
        <f>SUM(D69)</f>
        <v>14985</v>
      </c>
      <c r="E93" s="114">
        <f>SUM(E69)</f>
        <v>14258</v>
      </c>
      <c r="F93" s="125">
        <f t="shared" si="2"/>
        <v>0.5852519185852519</v>
      </c>
      <c r="G93" s="114">
        <f>+C93-B93</f>
        <v>6215</v>
      </c>
      <c r="H93" s="1"/>
    </row>
    <row r="94" spans="1:8" ht="12.75">
      <c r="A94" s="162" t="s">
        <v>11</v>
      </c>
      <c r="B94" s="115">
        <f>SUM(B73)</f>
        <v>21232</v>
      </c>
      <c r="C94" s="115">
        <f>SUM(C73)</f>
        <v>37840</v>
      </c>
      <c r="D94" s="115">
        <f>SUM(D73)</f>
        <v>37840</v>
      </c>
      <c r="E94" s="115">
        <f>SUM(E73)</f>
        <v>35004</v>
      </c>
      <c r="F94" s="125">
        <f t="shared" si="2"/>
        <v>0.5610993657505285</v>
      </c>
      <c r="G94" s="115">
        <f>+C94-B94</f>
        <v>16608</v>
      </c>
      <c r="H94" s="1"/>
    </row>
    <row r="95" spans="1:9" ht="12.75">
      <c r="A95" s="162" t="s">
        <v>99</v>
      </c>
      <c r="B95" s="116">
        <f>SUM(B82)</f>
        <v>10128</v>
      </c>
      <c r="C95" s="116">
        <f>SUM(C80)</f>
        <v>15000</v>
      </c>
      <c r="D95" s="116">
        <f>SUM(D80)</f>
        <v>15000</v>
      </c>
      <c r="E95" s="116">
        <f>SUM(E80)</f>
        <v>15376</v>
      </c>
      <c r="F95" s="217">
        <f t="shared" si="2"/>
        <v>0.6752</v>
      </c>
      <c r="G95" s="116">
        <f>+C95-B95</f>
        <v>4872</v>
      </c>
      <c r="H95" s="1"/>
      <c r="I95" s="4"/>
    </row>
    <row r="96" spans="1:8" ht="12.75">
      <c r="A96" s="165" t="s">
        <v>48</v>
      </c>
      <c r="B96" s="107">
        <f>+B94+B95</f>
        <v>31360</v>
      </c>
      <c r="C96" s="107">
        <f>SUM(C94:C95)</f>
        <v>52840</v>
      </c>
      <c r="D96" s="107">
        <f>SUM(D94:D95)</f>
        <v>52840</v>
      </c>
      <c r="E96" s="107">
        <f>SUM(E94:E95)</f>
        <v>50380</v>
      </c>
      <c r="F96" s="223">
        <f t="shared" si="2"/>
        <v>0.5934897804693414</v>
      </c>
      <c r="G96" s="107">
        <f>+G94+G95</f>
        <v>21480</v>
      </c>
      <c r="H96" s="1"/>
    </row>
    <row r="97" spans="1:7" ht="12.75">
      <c r="A97" s="162"/>
      <c r="B97" s="121"/>
      <c r="C97" s="118"/>
      <c r="D97" s="117"/>
      <c r="E97" s="112"/>
      <c r="F97" s="112"/>
      <c r="G97" s="112"/>
    </row>
    <row r="98" spans="1:7" ht="12.75">
      <c r="A98" s="162" t="s">
        <v>114</v>
      </c>
      <c r="B98" s="121"/>
      <c r="C98" s="118"/>
      <c r="D98" s="118"/>
      <c r="E98" s="121"/>
      <c r="F98" s="166"/>
      <c r="G98" s="121"/>
    </row>
    <row r="99" spans="1:7" ht="12.75">
      <c r="A99" s="167"/>
      <c r="B99" s="121"/>
      <c r="C99" s="121"/>
      <c r="D99" s="121"/>
      <c r="E99" s="121"/>
      <c r="F99" s="166"/>
      <c r="G99" s="121"/>
    </row>
    <row r="100" spans="1:7" ht="12.75">
      <c r="A100" s="167"/>
      <c r="B100" s="121"/>
      <c r="C100" s="121"/>
      <c r="D100" s="121"/>
      <c r="E100" s="121"/>
      <c r="F100" s="166"/>
      <c r="G100" s="121"/>
    </row>
    <row r="101" spans="1:7" ht="12.75">
      <c r="A101" s="167"/>
      <c r="B101" s="121"/>
      <c r="C101" s="121"/>
      <c r="D101" s="121"/>
      <c r="E101" s="121"/>
      <c r="F101" s="166"/>
      <c r="G101" s="121"/>
    </row>
    <row r="102" spans="1:7" ht="12.75">
      <c r="A102" s="120"/>
      <c r="B102" s="121"/>
      <c r="C102" s="111"/>
      <c r="D102" s="121"/>
      <c r="E102" s="111"/>
      <c r="F102" s="119"/>
      <c r="G102" s="111"/>
    </row>
    <row r="103" spans="1:7" ht="12.75">
      <c r="A103" s="120"/>
      <c r="B103" s="121"/>
      <c r="C103" s="111"/>
      <c r="D103" s="121"/>
      <c r="E103" s="111"/>
      <c r="F103" s="119"/>
      <c r="G103" s="111"/>
    </row>
    <row r="104" spans="1:7" ht="12.75">
      <c r="A104" s="120"/>
      <c r="B104" s="121"/>
      <c r="C104" s="111"/>
      <c r="D104" s="121"/>
      <c r="E104" s="111"/>
      <c r="F104" s="119"/>
      <c r="G104" s="111"/>
    </row>
    <row r="105" spans="1:7" ht="12.75">
      <c r="A105" s="120"/>
      <c r="B105" s="121"/>
      <c r="C105" s="111"/>
      <c r="D105" s="121"/>
      <c r="E105" s="111"/>
      <c r="F105" s="119"/>
      <c r="G105" s="111"/>
    </row>
    <row r="106" spans="1:7" ht="12.75">
      <c r="A106" s="120"/>
      <c r="B106" s="121"/>
      <c r="C106" s="111"/>
      <c r="D106" s="121"/>
      <c r="E106" s="111"/>
      <c r="F106" s="119"/>
      <c r="G106" s="111"/>
    </row>
    <row r="107" spans="1:7" ht="12.75">
      <c r="A107" s="120"/>
      <c r="B107" s="121"/>
      <c r="C107" s="111"/>
      <c r="D107" s="121"/>
      <c r="E107" s="111"/>
      <c r="F107" s="119"/>
      <c r="G107" s="111"/>
    </row>
    <row r="108" spans="1:7" ht="12.75">
      <c r="A108" s="120"/>
      <c r="B108" s="121"/>
      <c r="C108" s="111"/>
      <c r="D108" s="121"/>
      <c r="E108" s="111"/>
      <c r="F108" s="119"/>
      <c r="G108" s="111"/>
    </row>
    <row r="109" spans="1:7" ht="12.75">
      <c r="A109" s="120"/>
      <c r="B109" s="121"/>
      <c r="C109" s="111"/>
      <c r="D109" s="121"/>
      <c r="E109" s="111"/>
      <c r="F109" s="119"/>
      <c r="G109" s="111"/>
    </row>
    <row r="110" spans="1:7" ht="12.75">
      <c r="A110" s="120"/>
      <c r="B110" s="121"/>
      <c r="C110" s="111"/>
      <c r="D110" s="121"/>
      <c r="E110" s="111"/>
      <c r="F110" s="119"/>
      <c r="G110" s="111"/>
    </row>
    <row r="111" spans="1:7" ht="12.75">
      <c r="A111" s="120"/>
      <c r="B111" s="121"/>
      <c r="C111" s="111"/>
      <c r="D111" s="121"/>
      <c r="E111" s="111"/>
      <c r="F111" s="119"/>
      <c r="G111" s="111"/>
    </row>
    <row r="112" spans="1:7" ht="12.75">
      <c r="A112" s="120"/>
      <c r="B112" s="121"/>
      <c r="C112" s="111"/>
      <c r="D112" s="121"/>
      <c r="E112" s="111"/>
      <c r="F112" s="119"/>
      <c r="G112" s="111"/>
    </row>
    <row r="113" spans="1:7" ht="12.75">
      <c r="A113" s="120"/>
      <c r="B113" s="121"/>
      <c r="C113" s="111"/>
      <c r="D113" s="121"/>
      <c r="E113" s="111"/>
      <c r="F113" s="119"/>
      <c r="G113" s="111"/>
    </row>
    <row r="114" spans="1:7" ht="12.75">
      <c r="A114" s="120"/>
      <c r="B114" s="121"/>
      <c r="C114" s="111"/>
      <c r="D114" s="121"/>
      <c r="E114" s="111"/>
      <c r="F114" s="119"/>
      <c r="G114" s="111"/>
    </row>
    <row r="115" spans="1:7" ht="12.75">
      <c r="A115" s="120"/>
      <c r="B115" s="121"/>
      <c r="C115" s="111"/>
      <c r="D115" s="121"/>
      <c r="E115" s="111"/>
      <c r="F115" s="119"/>
      <c r="G115" s="111"/>
    </row>
    <row r="116" spans="1:7" ht="12.75">
      <c r="A116" s="120"/>
      <c r="B116" s="121"/>
      <c r="C116" s="111"/>
      <c r="D116" s="121"/>
      <c r="E116" s="111"/>
      <c r="F116" s="119"/>
      <c r="G116" s="111"/>
    </row>
    <row r="117" spans="1:7" ht="12.75">
      <c r="A117" s="120"/>
      <c r="B117" s="121"/>
      <c r="C117" s="111"/>
      <c r="D117" s="121"/>
      <c r="E117" s="111"/>
      <c r="F117" s="119"/>
      <c r="G117" s="111"/>
    </row>
    <row r="118" spans="1:7" ht="12.75">
      <c r="A118" s="21"/>
      <c r="B118" s="22"/>
      <c r="C118" s="14"/>
      <c r="D118" s="22"/>
      <c r="E118" s="14"/>
      <c r="F118" s="15"/>
      <c r="G118" s="14"/>
    </row>
    <row r="119" spans="1:7" ht="12.75">
      <c r="A119" s="21"/>
      <c r="B119" s="22"/>
      <c r="C119" s="14"/>
      <c r="D119" s="22"/>
      <c r="E119" s="14"/>
      <c r="F119" s="15"/>
      <c r="G119" s="14"/>
    </row>
    <row r="120" spans="1:7" ht="12.75">
      <c r="A120" s="21"/>
      <c r="B120" s="22"/>
      <c r="C120" s="14"/>
      <c r="D120" s="22"/>
      <c r="E120" s="14"/>
      <c r="F120" s="15"/>
      <c r="G120" s="14"/>
    </row>
    <row r="121" spans="1:7" ht="12.75">
      <c r="A121" s="21"/>
      <c r="B121" s="22"/>
      <c r="C121" s="14"/>
      <c r="D121" s="22"/>
      <c r="E121" s="14"/>
      <c r="F121" s="15"/>
      <c r="G121" s="14"/>
    </row>
    <row r="122" spans="1:7" ht="12.75">
      <c r="A122" s="21"/>
      <c r="B122" s="22"/>
      <c r="C122" s="14"/>
      <c r="D122" s="22"/>
      <c r="E122" s="14"/>
      <c r="F122" s="15"/>
      <c r="G122" s="14"/>
    </row>
    <row r="123" spans="1:7" ht="12.75">
      <c r="A123" s="21"/>
      <c r="B123" s="22"/>
      <c r="C123" s="14"/>
      <c r="D123" s="22"/>
      <c r="E123" s="14"/>
      <c r="F123" s="15"/>
      <c r="G123" s="14"/>
    </row>
    <row r="124" spans="1:7" ht="12.75">
      <c r="A124" s="21"/>
      <c r="B124" s="22"/>
      <c r="C124" s="14"/>
      <c r="D124" s="22"/>
      <c r="E124" s="14"/>
      <c r="F124" s="15"/>
      <c r="G124" s="14"/>
    </row>
    <row r="125" spans="1:7" ht="12.75">
      <c r="A125" s="21"/>
      <c r="B125" s="22"/>
      <c r="C125" s="14"/>
      <c r="D125" s="22"/>
      <c r="E125" s="14"/>
      <c r="F125" s="15"/>
      <c r="G125" s="14"/>
    </row>
    <row r="126" spans="1:7" ht="12.75">
      <c r="A126" s="21"/>
      <c r="B126" s="22"/>
      <c r="C126" s="14"/>
      <c r="D126" s="22"/>
      <c r="E126" s="14"/>
      <c r="F126" s="15"/>
      <c r="G126" s="14"/>
    </row>
    <row r="127" spans="1:7" ht="12.75">
      <c r="A127" s="21"/>
      <c r="B127" s="22"/>
      <c r="C127" s="14"/>
      <c r="D127" s="22"/>
      <c r="E127" s="14"/>
      <c r="F127" s="15"/>
      <c r="G127" s="14"/>
    </row>
    <row r="128" spans="1:7" ht="12.75">
      <c r="A128" s="21"/>
      <c r="B128" s="22"/>
      <c r="C128" s="14"/>
      <c r="D128" s="22"/>
      <c r="E128" s="14"/>
      <c r="F128" s="15"/>
      <c r="G128" s="14"/>
    </row>
    <row r="129" spans="1:7" ht="12.75">
      <c r="A129" s="21"/>
      <c r="B129" s="22"/>
      <c r="C129" s="14"/>
      <c r="D129" s="22"/>
      <c r="E129" s="14"/>
      <c r="F129" s="15"/>
      <c r="G129" s="14"/>
    </row>
    <row r="130" spans="1:7" ht="12.75">
      <c r="A130" s="21"/>
      <c r="B130" s="22"/>
      <c r="C130" s="14"/>
      <c r="D130" s="22"/>
      <c r="E130" s="14"/>
      <c r="F130" s="15"/>
      <c r="G130" s="14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97"/>
  <sheetViews>
    <sheetView showGridLines="0" workbookViewId="0" topLeftCell="B1">
      <pane ySplit="8" topLeftCell="BM9" activePane="bottomLeft" state="frozen"/>
      <selection pane="topLeft" activeCell="A1" sqref="A1"/>
      <selection pane="bottomLeft" activeCell="Q80" sqref="Q80"/>
    </sheetView>
  </sheetViews>
  <sheetFormatPr defaultColWidth="9.00390625" defaultRowHeight="12.75"/>
  <cols>
    <col min="1" max="1" width="33.50390625" style="397" customWidth="1"/>
    <col min="2" max="3" width="11.875" style="368" customWidth="1"/>
    <col min="4" max="4" width="11.875" style="366" customWidth="1"/>
    <col min="5" max="6" width="11.875" style="367" customWidth="1"/>
    <col min="7" max="10" width="11.875" style="368" customWidth="1"/>
    <col min="11" max="11" width="14.00390625" style="374" customWidth="1"/>
    <col min="12" max="13" width="8.875" style="368" customWidth="1"/>
    <col min="14" max="14" width="2.875" style="368" customWidth="1"/>
    <col min="15" max="15" width="9.125" style="370" bestFit="1" customWidth="1"/>
    <col min="16" max="16" width="6.00390625" style="370" customWidth="1"/>
    <col min="17" max="16384" width="12.00390625" style="368" customWidth="1"/>
  </cols>
  <sheetData>
    <row r="1" spans="1:11" ht="27" customHeight="1">
      <c r="A1" s="363" t="s">
        <v>146</v>
      </c>
      <c r="B1" s="364"/>
      <c r="C1" s="365"/>
      <c r="K1" s="369" t="s">
        <v>147</v>
      </c>
    </row>
    <row r="2" spans="1:3" ht="12.75">
      <c r="A2" s="371" t="s">
        <v>148</v>
      </c>
      <c r="B2" s="372"/>
      <c r="C2" s="373"/>
    </row>
    <row r="3" spans="1:3" ht="12.75">
      <c r="A3" s="371"/>
      <c r="B3" s="372"/>
      <c r="C3" s="373"/>
    </row>
    <row r="4" spans="1:3" ht="12.75">
      <c r="A4" s="371"/>
      <c r="B4" s="372"/>
      <c r="C4" s="373"/>
    </row>
    <row r="5" spans="1:14" ht="15">
      <c r="A5" s="375"/>
      <c r="B5" s="376" t="s">
        <v>149</v>
      </c>
      <c r="C5" s="377"/>
      <c r="D5" s="378"/>
      <c r="E5" s="379" t="s">
        <v>150</v>
      </c>
      <c r="F5" s="380"/>
      <c r="G5" s="376" t="s">
        <v>150</v>
      </c>
      <c r="H5" s="381"/>
      <c r="I5" s="382" t="s">
        <v>22</v>
      </c>
      <c r="J5" s="383" t="s">
        <v>22</v>
      </c>
      <c r="K5" s="384"/>
      <c r="L5" s="385"/>
      <c r="M5" s="385"/>
      <c r="N5" s="385"/>
    </row>
    <row r="6" spans="1:15" ht="15">
      <c r="A6" s="375"/>
      <c r="B6" s="386" t="s">
        <v>151</v>
      </c>
      <c r="C6" s="387"/>
      <c r="D6" s="388"/>
      <c r="E6" s="389" t="s">
        <v>152</v>
      </c>
      <c r="F6" s="390"/>
      <c r="G6" s="386" t="s">
        <v>153</v>
      </c>
      <c r="H6" s="391"/>
      <c r="I6" s="392" t="s">
        <v>154</v>
      </c>
      <c r="J6" s="393" t="s">
        <v>154</v>
      </c>
      <c r="K6" s="394"/>
      <c r="L6" s="395"/>
      <c r="M6" s="395"/>
      <c r="N6" s="395"/>
      <c r="O6" s="396"/>
    </row>
    <row r="7" spans="2:17" ht="12.75">
      <c r="B7" s="398" t="s">
        <v>38</v>
      </c>
      <c r="C7" s="399" t="s">
        <v>154</v>
      </c>
      <c r="D7" s="400"/>
      <c r="E7" s="389" t="s">
        <v>155</v>
      </c>
      <c r="F7" s="390"/>
      <c r="G7" s="401" t="s">
        <v>156</v>
      </c>
      <c r="H7" s="391"/>
      <c r="I7" s="392" t="s">
        <v>157</v>
      </c>
      <c r="J7" s="393" t="s">
        <v>157</v>
      </c>
      <c r="K7" s="394"/>
      <c r="L7" s="395"/>
      <c r="M7" s="387"/>
      <c r="N7" s="385"/>
      <c r="O7" s="395"/>
      <c r="P7" s="402"/>
      <c r="Q7" s="367"/>
    </row>
    <row r="8" spans="2:17" ht="12.75">
      <c r="B8" s="403">
        <v>2007</v>
      </c>
      <c r="C8" s="404">
        <v>2006</v>
      </c>
      <c r="D8" s="405" t="s">
        <v>158</v>
      </c>
      <c r="E8" s="403" t="s">
        <v>159</v>
      </c>
      <c r="F8" s="406" t="s">
        <v>160</v>
      </c>
      <c r="G8" s="407" t="s">
        <v>159</v>
      </c>
      <c r="H8" s="408" t="s">
        <v>160</v>
      </c>
      <c r="I8" s="409">
        <v>2007</v>
      </c>
      <c r="J8" s="410">
        <v>2006</v>
      </c>
      <c r="K8" s="411" t="s">
        <v>158</v>
      </c>
      <c r="L8" s="412" t="s">
        <v>159</v>
      </c>
      <c r="M8" s="367" t="s">
        <v>160</v>
      </c>
      <c r="N8" s="413"/>
      <c r="O8" s="412"/>
      <c r="P8" s="367"/>
      <c r="Q8" s="367"/>
    </row>
    <row r="9" spans="1:14" ht="12.75">
      <c r="A9" s="62" t="s">
        <v>77</v>
      </c>
      <c r="B9" s="414"/>
      <c r="C9" s="415"/>
      <c r="D9" s="416"/>
      <c r="E9" s="417"/>
      <c r="F9" s="418"/>
      <c r="H9" s="419"/>
      <c r="I9" s="418"/>
      <c r="J9" s="420"/>
      <c r="K9" s="421"/>
      <c r="L9" s="370"/>
      <c r="M9" s="370"/>
      <c r="N9" s="385"/>
    </row>
    <row r="10" spans="1:17" ht="12.75">
      <c r="A10" s="140" t="s">
        <v>78</v>
      </c>
      <c r="B10" s="422">
        <v>307</v>
      </c>
      <c r="C10" s="123">
        <v>594</v>
      </c>
      <c r="D10" s="423">
        <f>B10/C10</f>
        <v>0.5168350168350169</v>
      </c>
      <c r="E10" s="424">
        <f>L10/$L$67*$B$90</f>
        <v>912.1596066565809</v>
      </c>
      <c r="F10" s="425">
        <f>M10/$M$67*$B$92</f>
        <v>744.5691167476741</v>
      </c>
      <c r="G10" s="426">
        <v>1000</v>
      </c>
      <c r="H10" s="427">
        <v>1125</v>
      </c>
      <c r="I10" s="425">
        <f>B10+E10+F10</f>
        <v>1963.7287234042549</v>
      </c>
      <c r="J10" s="427">
        <f>C10+G10+H10</f>
        <v>2719</v>
      </c>
      <c r="K10" s="428">
        <f>I10/J10</f>
        <v>0.7222246132417267</v>
      </c>
      <c r="L10" s="370">
        <v>2.75</v>
      </c>
      <c r="M10" s="370">
        <v>2.75</v>
      </c>
      <c r="N10" s="429"/>
      <c r="Q10" s="370"/>
    </row>
    <row r="11" spans="1:17" ht="12.75">
      <c r="A11" s="124" t="s">
        <v>161</v>
      </c>
      <c r="B11" s="422">
        <v>540</v>
      </c>
      <c r="C11" s="99"/>
      <c r="D11" s="430"/>
      <c r="E11" s="424">
        <f>L11/$L$67*$B$90</f>
        <v>92.87443267776096</v>
      </c>
      <c r="F11" s="425">
        <f>M11/$M$67*$B$92</f>
        <v>75.81067370521772</v>
      </c>
      <c r="G11" s="431"/>
      <c r="H11" s="432"/>
      <c r="I11" s="425">
        <f>B11+E11+F11</f>
        <v>708.6851063829787</v>
      </c>
      <c r="J11" s="432">
        <f>C11+G11+H11</f>
        <v>0</v>
      </c>
      <c r="K11" s="433" t="e">
        <f>I11/J11</f>
        <v>#DIV/0!</v>
      </c>
      <c r="L11" s="370">
        <v>0.28</v>
      </c>
      <c r="M11" s="370">
        <v>0.28</v>
      </c>
      <c r="N11" s="429"/>
      <c r="Q11" s="370"/>
    </row>
    <row r="12" spans="1:17" ht="12.75">
      <c r="A12" s="140" t="s">
        <v>79</v>
      </c>
      <c r="B12" s="422">
        <v>0</v>
      </c>
      <c r="C12" s="123">
        <v>2</v>
      </c>
      <c r="D12" s="423">
        <f>B12/C12</f>
        <v>0</v>
      </c>
      <c r="E12" s="424">
        <f>L12/$L$67*$B$90</f>
        <v>109.45915279878972</v>
      </c>
      <c r="F12" s="425">
        <f>M12/$M$67*$B$92</f>
        <v>89.3482940097209</v>
      </c>
      <c r="G12" s="426">
        <v>170</v>
      </c>
      <c r="H12" s="427">
        <v>192</v>
      </c>
      <c r="I12" s="425">
        <f>B12+E12+F12</f>
        <v>198.80744680851063</v>
      </c>
      <c r="J12" s="427">
        <f>C12+G12+H12</f>
        <v>364</v>
      </c>
      <c r="K12" s="428">
        <f>I12/J12</f>
        <v>0.5461743044189853</v>
      </c>
      <c r="L12" s="370">
        <v>0.33</v>
      </c>
      <c r="M12" s="370">
        <v>0.33</v>
      </c>
      <c r="N12" s="429"/>
      <c r="Q12" s="370"/>
    </row>
    <row r="13" spans="1:17" ht="12.75">
      <c r="A13" s="124" t="s">
        <v>26</v>
      </c>
      <c r="B13" s="422">
        <v>278</v>
      </c>
      <c r="C13" s="99">
        <v>246</v>
      </c>
      <c r="D13" s="430">
        <f>B13/C13</f>
        <v>1.1300813008130082</v>
      </c>
      <c r="E13" s="434">
        <f>L13/$L$67*$B$90</f>
        <v>72.97276853252647</v>
      </c>
      <c r="F13" s="425">
        <f>M13/$M$67*$B$92</f>
        <v>59.56552933981393</v>
      </c>
      <c r="G13" s="435">
        <v>84</v>
      </c>
      <c r="H13" s="432">
        <v>94</v>
      </c>
      <c r="I13" s="425">
        <f>B13+E13+F13</f>
        <v>410.53829787234037</v>
      </c>
      <c r="J13" s="432">
        <f>C13+G13+H13</f>
        <v>424</v>
      </c>
      <c r="K13" s="433">
        <f>I13/J13</f>
        <v>0.9682507025291046</v>
      </c>
      <c r="L13" s="370">
        <v>0.22</v>
      </c>
      <c r="M13" s="370">
        <v>0.22</v>
      </c>
      <c r="N13" s="429"/>
      <c r="Q13" s="370"/>
    </row>
    <row r="14" spans="1:17" ht="12.75">
      <c r="A14" s="140" t="s">
        <v>80</v>
      </c>
      <c r="B14" s="422">
        <v>270</v>
      </c>
      <c r="C14" s="123">
        <v>243</v>
      </c>
      <c r="D14" s="423">
        <f>B14/C14</f>
        <v>1.1111111111111112</v>
      </c>
      <c r="E14" s="424">
        <f>L14/$L$67*$B$90</f>
        <v>378.1316187594553</v>
      </c>
      <c r="F14" s="425">
        <f>M14/$M$67*$B$92</f>
        <v>308.65774294267214</v>
      </c>
      <c r="G14" s="426">
        <v>321</v>
      </c>
      <c r="H14" s="427">
        <v>362</v>
      </c>
      <c r="I14" s="425">
        <f>B14+E14+F14</f>
        <v>956.7893617021274</v>
      </c>
      <c r="J14" s="427">
        <f>C14+G14+H14</f>
        <v>926</v>
      </c>
      <c r="K14" s="428">
        <f>I14/J14</f>
        <v>1.0332498506502457</v>
      </c>
      <c r="L14" s="370">
        <v>1.14</v>
      </c>
      <c r="M14" s="370">
        <v>1.14</v>
      </c>
      <c r="N14" s="429"/>
      <c r="Q14" s="370"/>
    </row>
    <row r="15" spans="1:17" ht="12.75">
      <c r="A15" s="436" t="s">
        <v>22</v>
      </c>
      <c r="B15" s="437">
        <f>SUM(B10:B14)</f>
        <v>1395</v>
      </c>
      <c r="C15" s="438">
        <f>C10+C12+C13+C14</f>
        <v>1085</v>
      </c>
      <c r="D15" s="439">
        <f>B15/C15</f>
        <v>1.2857142857142858</v>
      </c>
      <c r="E15" s="437">
        <f aca="true" t="shared" si="0" ref="E15:J15">SUM(E10:E14)</f>
        <v>1565.5975794251133</v>
      </c>
      <c r="F15" s="440">
        <f t="shared" si="0"/>
        <v>1277.9513567450988</v>
      </c>
      <c r="G15" s="441">
        <f t="shared" si="0"/>
        <v>1575</v>
      </c>
      <c r="H15" s="442">
        <f t="shared" si="0"/>
        <v>1773</v>
      </c>
      <c r="I15" s="440">
        <f t="shared" si="0"/>
        <v>4238.548936170212</v>
      </c>
      <c r="J15" s="442">
        <f t="shared" si="0"/>
        <v>4433</v>
      </c>
      <c r="K15" s="443">
        <v>1.03</v>
      </c>
      <c r="L15" s="444"/>
      <c r="M15" s="444"/>
      <c r="N15" s="445"/>
      <c r="O15" s="444"/>
      <c r="P15" s="444"/>
      <c r="Q15" s="370"/>
    </row>
    <row r="16" spans="2:17" ht="12.75">
      <c r="B16" s="446"/>
      <c r="C16" s="447"/>
      <c r="D16" s="448"/>
      <c r="E16" s="424"/>
      <c r="F16" s="424"/>
      <c r="G16" s="449"/>
      <c r="H16" s="450"/>
      <c r="I16" s="451"/>
      <c r="J16" s="452"/>
      <c r="K16" s="384"/>
      <c r="L16" s="370"/>
      <c r="M16" s="370"/>
      <c r="Q16" s="370"/>
    </row>
    <row r="17" spans="1:17" ht="12.75">
      <c r="A17" s="153" t="s">
        <v>82</v>
      </c>
      <c r="B17" s="453"/>
      <c r="C17" s="132"/>
      <c r="D17" s="448"/>
      <c r="E17" s="424"/>
      <c r="F17" s="424"/>
      <c r="G17" s="454"/>
      <c r="H17" s="455"/>
      <c r="I17" s="456"/>
      <c r="J17" s="452"/>
      <c r="K17" s="394"/>
      <c r="L17" s="370"/>
      <c r="M17" s="370"/>
      <c r="Q17" s="370"/>
    </row>
    <row r="18" spans="1:17" ht="12.75">
      <c r="A18" s="140" t="s">
        <v>83</v>
      </c>
      <c r="B18" s="422">
        <v>489</v>
      </c>
      <c r="C18" s="123">
        <v>468</v>
      </c>
      <c r="D18" s="423">
        <f>B18/C18</f>
        <v>1.044871794871795</v>
      </c>
      <c r="E18" s="424">
        <f aca="true" t="shared" si="1" ref="E18:E25">L18/$L$67*$B$90</f>
        <v>331.6944024205749</v>
      </c>
      <c r="F18" s="425">
        <f aca="true" t="shared" si="2" ref="F18:F25">M18/$M$67*$B$92</f>
        <v>270.7524060900633</v>
      </c>
      <c r="G18" s="457">
        <v>206</v>
      </c>
      <c r="H18" s="427">
        <v>232</v>
      </c>
      <c r="I18" s="458">
        <f aca="true" t="shared" si="3" ref="I18:I25">B18+E18+F18</f>
        <v>1091.4468085106382</v>
      </c>
      <c r="J18" s="459">
        <f>C18+G18+H18</f>
        <v>906</v>
      </c>
      <c r="K18" s="428">
        <f>I18/J18</f>
        <v>1.2046874266121834</v>
      </c>
      <c r="L18" s="370">
        <v>1</v>
      </c>
      <c r="M18" s="370">
        <v>1</v>
      </c>
      <c r="N18" s="429"/>
      <c r="Q18" s="370"/>
    </row>
    <row r="19" spans="1:17" ht="12.75">
      <c r="A19" s="124" t="s">
        <v>84</v>
      </c>
      <c r="B19" s="422">
        <v>131</v>
      </c>
      <c r="C19" s="99">
        <v>111</v>
      </c>
      <c r="D19" s="430">
        <f>B19/C19</f>
        <v>1.1801801801801801</v>
      </c>
      <c r="E19" s="424">
        <f t="shared" si="1"/>
        <v>305.1588502269289</v>
      </c>
      <c r="F19" s="425">
        <f t="shared" si="2"/>
        <v>249.09221360285827</v>
      </c>
      <c r="G19" s="454">
        <v>309</v>
      </c>
      <c r="H19" s="455">
        <v>347</v>
      </c>
      <c r="I19" s="458">
        <f t="shared" si="3"/>
        <v>685.2510638297872</v>
      </c>
      <c r="J19" s="460">
        <f>C19+G19+H19</f>
        <v>767</v>
      </c>
      <c r="K19" s="433">
        <f>I19/J19</f>
        <v>0.8934172931287969</v>
      </c>
      <c r="L19" s="370">
        <v>0.92</v>
      </c>
      <c r="M19" s="370">
        <v>0.92</v>
      </c>
      <c r="N19" s="429"/>
      <c r="Q19" s="370"/>
    </row>
    <row r="20" spans="1:17" ht="12.75">
      <c r="A20" s="140" t="s">
        <v>85</v>
      </c>
      <c r="B20" s="422">
        <v>16</v>
      </c>
      <c r="C20" s="123">
        <v>7</v>
      </c>
      <c r="D20" s="423">
        <f>B20/C20</f>
        <v>2.2857142857142856</v>
      </c>
      <c r="E20" s="424">
        <f t="shared" si="1"/>
        <v>321.7435703479576</v>
      </c>
      <c r="F20" s="425">
        <f t="shared" si="2"/>
        <v>262.6298339073614</v>
      </c>
      <c r="G20" s="457">
        <v>199</v>
      </c>
      <c r="H20" s="427">
        <v>224</v>
      </c>
      <c r="I20" s="458">
        <f t="shared" si="3"/>
        <v>600.373404255319</v>
      </c>
      <c r="J20" s="459">
        <f>C20+G20+H20</f>
        <v>430</v>
      </c>
      <c r="K20" s="428">
        <f>I20/J20</f>
        <v>1.3962172191984161</v>
      </c>
      <c r="L20" s="370">
        <v>0.97</v>
      </c>
      <c r="M20" s="370">
        <v>0.97</v>
      </c>
      <c r="N20" s="429"/>
      <c r="Q20" s="370"/>
    </row>
    <row r="21" spans="1:17" ht="12.75">
      <c r="A21" s="124" t="s">
        <v>25</v>
      </c>
      <c r="B21" s="422">
        <v>768</v>
      </c>
      <c r="C21" s="99">
        <v>776</v>
      </c>
      <c r="D21" s="461">
        <f>B21/C21</f>
        <v>0.9896907216494846</v>
      </c>
      <c r="E21" s="424">
        <f t="shared" si="1"/>
        <v>308.47579425113463</v>
      </c>
      <c r="F21" s="425">
        <f t="shared" si="2"/>
        <v>251.79973766375886</v>
      </c>
      <c r="G21" s="454">
        <v>312</v>
      </c>
      <c r="H21" s="455">
        <v>351</v>
      </c>
      <c r="I21" s="458">
        <f t="shared" si="3"/>
        <v>1328.2755319148935</v>
      </c>
      <c r="J21" s="460">
        <f>C21+G21+H21</f>
        <v>1439</v>
      </c>
      <c r="K21" s="433">
        <f>I21/J21</f>
        <v>0.9230545739505861</v>
      </c>
      <c r="L21" s="370">
        <v>0.93</v>
      </c>
      <c r="M21" s="370">
        <v>0.93</v>
      </c>
      <c r="N21" s="429"/>
      <c r="Q21" s="370"/>
    </row>
    <row r="22" spans="1:17" ht="12.75">
      <c r="A22" s="140" t="s">
        <v>123</v>
      </c>
      <c r="B22" s="422">
        <v>295</v>
      </c>
      <c r="C22" s="123"/>
      <c r="D22" s="423"/>
      <c r="E22" s="424">
        <f t="shared" si="1"/>
        <v>331.6944024205749</v>
      </c>
      <c r="F22" s="425">
        <f t="shared" si="2"/>
        <v>270.7524060900633</v>
      </c>
      <c r="G22" s="457"/>
      <c r="H22" s="427"/>
      <c r="I22" s="458">
        <f t="shared" si="3"/>
        <v>897.4468085106382</v>
      </c>
      <c r="J22" s="459"/>
      <c r="K22" s="428"/>
      <c r="L22" s="370">
        <v>1</v>
      </c>
      <c r="M22" s="370">
        <v>1</v>
      </c>
      <c r="N22" s="429"/>
      <c r="Q22" s="370"/>
    </row>
    <row r="23" spans="1:17" ht="12.75">
      <c r="A23" s="124" t="s">
        <v>162</v>
      </c>
      <c r="B23" s="422">
        <v>0</v>
      </c>
      <c r="C23" s="99">
        <v>229</v>
      </c>
      <c r="D23" s="461">
        <f>B23/C23</f>
        <v>0</v>
      </c>
      <c r="E23" s="424">
        <f t="shared" si="1"/>
        <v>0</v>
      </c>
      <c r="F23" s="425">
        <f t="shared" si="2"/>
        <v>0</v>
      </c>
      <c r="G23" s="462">
        <v>87</v>
      </c>
      <c r="H23" s="432">
        <v>98</v>
      </c>
      <c r="I23" s="458">
        <f t="shared" si="3"/>
        <v>0</v>
      </c>
      <c r="J23" s="460">
        <f>C23+G23+H23</f>
        <v>414</v>
      </c>
      <c r="K23" s="433">
        <f>I23/J23</f>
        <v>0</v>
      </c>
      <c r="L23" s="370"/>
      <c r="M23" s="370"/>
      <c r="N23" s="429"/>
      <c r="Q23" s="370"/>
    </row>
    <row r="24" spans="1:17" ht="12.75">
      <c r="A24" s="140" t="s">
        <v>163</v>
      </c>
      <c r="B24" s="422">
        <v>767</v>
      </c>
      <c r="C24" s="123">
        <v>0</v>
      </c>
      <c r="D24" s="423"/>
      <c r="E24" s="424">
        <f t="shared" si="1"/>
        <v>0</v>
      </c>
      <c r="F24" s="425">
        <f t="shared" si="2"/>
        <v>0</v>
      </c>
      <c r="G24" s="457">
        <v>3</v>
      </c>
      <c r="H24" s="427">
        <v>4</v>
      </c>
      <c r="I24" s="458">
        <f t="shared" si="3"/>
        <v>767</v>
      </c>
      <c r="J24" s="459">
        <f>C24+G24+H24</f>
        <v>7</v>
      </c>
      <c r="K24" s="428">
        <f>I24/J24</f>
        <v>109.57142857142857</v>
      </c>
      <c r="L24" s="370"/>
      <c r="M24" s="370"/>
      <c r="N24" s="429"/>
      <c r="Q24" s="370"/>
    </row>
    <row r="25" spans="1:17" ht="12.75">
      <c r="A25" s="124" t="s">
        <v>164</v>
      </c>
      <c r="B25" s="422">
        <v>335</v>
      </c>
      <c r="C25" s="99">
        <v>1540</v>
      </c>
      <c r="D25" s="430">
        <f>B25/C25</f>
        <v>0.21753246753246752</v>
      </c>
      <c r="E25" s="424">
        <f t="shared" si="1"/>
        <v>0</v>
      </c>
      <c r="F25" s="425">
        <f t="shared" si="2"/>
        <v>0</v>
      </c>
      <c r="G25" s="462">
        <v>0</v>
      </c>
      <c r="H25" s="432">
        <v>0</v>
      </c>
      <c r="I25" s="458">
        <f t="shared" si="3"/>
        <v>335</v>
      </c>
      <c r="J25" s="460">
        <f>C25+G25+H25</f>
        <v>1540</v>
      </c>
      <c r="K25" s="433">
        <f>I25/J25</f>
        <v>0.21753246753246752</v>
      </c>
      <c r="L25" s="370"/>
      <c r="M25" s="370"/>
      <c r="N25" s="429"/>
      <c r="Q25" s="370"/>
    </row>
    <row r="26" spans="1:17" ht="12.75">
      <c r="A26" s="436" t="s">
        <v>22</v>
      </c>
      <c r="B26" s="437">
        <f>SUM(B18:B25)</f>
        <v>2801</v>
      </c>
      <c r="C26" s="438">
        <f>C18+C19+C20+C21+C23+C24+C25</f>
        <v>3131</v>
      </c>
      <c r="D26" s="439">
        <f>B26/C26</f>
        <v>0.8946023634621527</v>
      </c>
      <c r="E26" s="437">
        <f aca="true" t="shared" si="4" ref="E26:J26">SUM(E18:E25)</f>
        <v>1598.7670196671706</v>
      </c>
      <c r="F26" s="463">
        <f t="shared" si="4"/>
        <v>1305.026597354105</v>
      </c>
      <c r="G26" s="464">
        <f t="shared" si="4"/>
        <v>1116</v>
      </c>
      <c r="H26" s="442">
        <f t="shared" si="4"/>
        <v>1256</v>
      </c>
      <c r="I26" s="465">
        <f t="shared" si="4"/>
        <v>5704.793617021276</v>
      </c>
      <c r="J26" s="441">
        <f t="shared" si="4"/>
        <v>5503</v>
      </c>
      <c r="K26" s="466">
        <f>I26/J26</f>
        <v>1.0366697468692125</v>
      </c>
      <c r="L26" s="444"/>
      <c r="M26" s="444"/>
      <c r="N26" s="445"/>
      <c r="O26" s="444"/>
      <c r="P26" s="444"/>
      <c r="Q26" s="370"/>
    </row>
    <row r="27" spans="1:17" ht="12.75">
      <c r="A27" s="368"/>
      <c r="B27" s="446"/>
      <c r="C27" s="447"/>
      <c r="D27" s="448"/>
      <c r="E27" s="424"/>
      <c r="F27" s="424"/>
      <c r="G27" s="454"/>
      <c r="H27" s="455"/>
      <c r="I27" s="456"/>
      <c r="J27" s="452"/>
      <c r="K27" s="394"/>
      <c r="L27" s="370"/>
      <c r="M27" s="370"/>
      <c r="Q27" s="370"/>
    </row>
    <row r="28" spans="1:17" ht="12.75">
      <c r="A28" s="153" t="s">
        <v>86</v>
      </c>
      <c r="B28" s="453"/>
      <c r="C28" s="132"/>
      <c r="D28" s="448"/>
      <c r="E28" s="424"/>
      <c r="F28" s="424"/>
      <c r="G28" s="454"/>
      <c r="H28" s="455"/>
      <c r="I28" s="456"/>
      <c r="J28" s="452"/>
      <c r="K28" s="394"/>
      <c r="L28" s="370"/>
      <c r="M28" s="370"/>
      <c r="Q28" s="370"/>
    </row>
    <row r="29" spans="1:17" ht="12.75">
      <c r="A29" s="168" t="s">
        <v>87</v>
      </c>
      <c r="B29" s="467">
        <v>55</v>
      </c>
      <c r="C29" s="169">
        <v>35</v>
      </c>
      <c r="D29" s="423">
        <f>B29/C29</f>
        <v>1.5714285714285714</v>
      </c>
      <c r="E29" s="424">
        <f aca="true" t="shared" si="5" ref="E29:E39">L29/$L$67*$B$90</f>
        <v>109.45915279878972</v>
      </c>
      <c r="F29" s="425">
        <f aca="true" t="shared" si="6" ref="F29:F39">M29/$M$67*$B$92</f>
        <v>89.3482940097209</v>
      </c>
      <c r="G29" s="457">
        <v>42</v>
      </c>
      <c r="H29" s="427">
        <v>47</v>
      </c>
      <c r="I29" s="458">
        <f aca="true" t="shared" si="7" ref="I29:I39">B29+E29+F29</f>
        <v>253.80744680851063</v>
      </c>
      <c r="J29" s="459">
        <f>C29+G29+H29</f>
        <v>124</v>
      </c>
      <c r="K29" s="428">
        <f>I29/J29</f>
        <v>2.0468342484557307</v>
      </c>
      <c r="L29" s="370">
        <v>0.33</v>
      </c>
      <c r="M29" s="370">
        <v>0.33</v>
      </c>
      <c r="N29" s="429"/>
      <c r="Q29" s="370"/>
    </row>
    <row r="30" spans="1:17" ht="12.75">
      <c r="A30" s="154" t="s">
        <v>88</v>
      </c>
      <c r="B30" s="467">
        <v>11</v>
      </c>
      <c r="C30" s="134">
        <v>26</v>
      </c>
      <c r="D30" s="430">
        <f>B30/C30</f>
        <v>0.4230769230769231</v>
      </c>
      <c r="E30" s="424">
        <f t="shared" si="5"/>
        <v>165.84720121028744</v>
      </c>
      <c r="F30" s="425">
        <f t="shared" si="6"/>
        <v>135.37620304503164</v>
      </c>
      <c r="G30" s="454">
        <v>244</v>
      </c>
      <c r="H30" s="455">
        <v>275</v>
      </c>
      <c r="I30" s="458">
        <f t="shared" si="7"/>
        <v>312.2234042553191</v>
      </c>
      <c r="J30" s="460">
        <f>C30+G30+H30</f>
        <v>545</v>
      </c>
      <c r="K30" s="433">
        <f>I30/J30</f>
        <v>0.5728869802849892</v>
      </c>
      <c r="L30" s="370">
        <v>0.5</v>
      </c>
      <c r="M30" s="370">
        <v>0.5</v>
      </c>
      <c r="N30" s="429"/>
      <c r="Q30" s="370"/>
    </row>
    <row r="31" spans="1:17" ht="12.75">
      <c r="A31" s="168" t="s">
        <v>89</v>
      </c>
      <c r="B31" s="467">
        <v>5</v>
      </c>
      <c r="C31" s="169">
        <v>239</v>
      </c>
      <c r="D31" s="423">
        <f>B31/C31</f>
        <v>0.02092050209205021</v>
      </c>
      <c r="E31" s="424">
        <f t="shared" si="5"/>
        <v>112.77609682299547</v>
      </c>
      <c r="F31" s="425">
        <f t="shared" si="6"/>
        <v>92.05581807062154</v>
      </c>
      <c r="G31" s="457">
        <v>440</v>
      </c>
      <c r="H31" s="427">
        <v>496</v>
      </c>
      <c r="I31" s="458">
        <f t="shared" si="7"/>
        <v>209.831914893617</v>
      </c>
      <c r="J31" s="459">
        <f>C31+G31+H31</f>
        <v>1175</v>
      </c>
      <c r="K31" s="428">
        <f>I31/J31</f>
        <v>0.17858035310095063</v>
      </c>
      <c r="L31" s="370">
        <v>0.34</v>
      </c>
      <c r="M31" s="370">
        <v>0.34</v>
      </c>
      <c r="N31" s="429"/>
      <c r="Q31" s="370"/>
    </row>
    <row r="32" spans="1:17" ht="12.75">
      <c r="A32" s="154" t="s">
        <v>126</v>
      </c>
      <c r="B32" s="467">
        <v>28</v>
      </c>
      <c r="C32" s="134"/>
      <c r="D32" s="430"/>
      <c r="E32" s="424">
        <f t="shared" si="5"/>
        <v>275.3063540090771</v>
      </c>
      <c r="F32" s="425">
        <f t="shared" si="6"/>
        <v>224.72449705475253</v>
      </c>
      <c r="G32" s="462"/>
      <c r="H32" s="432"/>
      <c r="I32" s="458">
        <f t="shared" si="7"/>
        <v>528.0308510638297</v>
      </c>
      <c r="J32" s="460"/>
      <c r="K32" s="433"/>
      <c r="L32" s="370">
        <v>0.83</v>
      </c>
      <c r="M32" s="370">
        <v>0.83</v>
      </c>
      <c r="N32" s="429"/>
      <c r="Q32" s="370"/>
    </row>
    <row r="33" spans="1:17" ht="12.75">
      <c r="A33" s="168" t="s">
        <v>127</v>
      </c>
      <c r="B33" s="467">
        <v>136</v>
      </c>
      <c r="C33" s="169"/>
      <c r="D33" s="423"/>
      <c r="E33" s="424">
        <f t="shared" si="5"/>
        <v>407.98411497730706</v>
      </c>
      <c r="F33" s="425">
        <f t="shared" si="6"/>
        <v>333.02545949077785</v>
      </c>
      <c r="G33" s="457"/>
      <c r="H33" s="427"/>
      <c r="I33" s="458">
        <f t="shared" si="7"/>
        <v>877.0095744680849</v>
      </c>
      <c r="J33" s="459"/>
      <c r="K33" s="428"/>
      <c r="L33" s="370">
        <v>1.23</v>
      </c>
      <c r="M33" s="370">
        <v>1.23</v>
      </c>
      <c r="N33" s="429"/>
      <c r="Q33" s="370"/>
    </row>
    <row r="34" spans="1:17" ht="12.75">
      <c r="A34" s="154" t="s">
        <v>165</v>
      </c>
      <c r="B34" s="467">
        <v>0</v>
      </c>
      <c r="C34" s="134">
        <v>69</v>
      </c>
      <c r="D34" s="461">
        <f>B34/C34</f>
        <v>0</v>
      </c>
      <c r="E34" s="424">
        <f t="shared" si="5"/>
        <v>0</v>
      </c>
      <c r="F34" s="425">
        <f t="shared" si="6"/>
        <v>0</v>
      </c>
      <c r="G34" s="454">
        <v>106</v>
      </c>
      <c r="H34" s="455">
        <v>119</v>
      </c>
      <c r="I34" s="458">
        <f t="shared" si="7"/>
        <v>0</v>
      </c>
      <c r="J34" s="460">
        <f>C34+G34+H34</f>
        <v>294</v>
      </c>
      <c r="K34" s="433">
        <f>I34/J34</f>
        <v>0</v>
      </c>
      <c r="L34" s="370"/>
      <c r="M34" s="370"/>
      <c r="N34" s="429"/>
      <c r="Q34" s="370"/>
    </row>
    <row r="35" spans="1:17" ht="12.75">
      <c r="A35" s="168" t="s">
        <v>128</v>
      </c>
      <c r="B35" s="467">
        <v>22</v>
      </c>
      <c r="C35" s="169"/>
      <c r="D35" s="423"/>
      <c r="E35" s="424">
        <f t="shared" si="5"/>
        <v>159.2133131618759</v>
      </c>
      <c r="F35" s="425">
        <f t="shared" si="6"/>
        <v>129.96115492323037</v>
      </c>
      <c r="G35" s="457"/>
      <c r="H35" s="427"/>
      <c r="I35" s="458">
        <f t="shared" si="7"/>
        <v>311.17446808510624</v>
      </c>
      <c r="J35" s="459"/>
      <c r="K35" s="428"/>
      <c r="L35" s="370">
        <v>0.48</v>
      </c>
      <c r="M35" s="370">
        <v>0.48</v>
      </c>
      <c r="N35" s="429"/>
      <c r="Q35" s="370"/>
    </row>
    <row r="36" spans="1:17" ht="12.75">
      <c r="A36" s="154" t="s">
        <v>166</v>
      </c>
      <c r="B36" s="467">
        <v>0</v>
      </c>
      <c r="C36" s="134">
        <v>156</v>
      </c>
      <c r="D36" s="430">
        <f>B36/C36</f>
        <v>0</v>
      </c>
      <c r="E36" s="424">
        <f t="shared" si="5"/>
        <v>0</v>
      </c>
      <c r="F36" s="425">
        <f t="shared" si="6"/>
        <v>0</v>
      </c>
      <c r="G36" s="462">
        <v>292</v>
      </c>
      <c r="H36" s="432">
        <v>329</v>
      </c>
      <c r="I36" s="458">
        <f t="shared" si="7"/>
        <v>0</v>
      </c>
      <c r="J36" s="460">
        <f>C36+G36+H36</f>
        <v>777</v>
      </c>
      <c r="K36" s="433">
        <f>I36/J36</f>
        <v>0</v>
      </c>
      <c r="L36" s="370">
        <v>0</v>
      </c>
      <c r="M36" s="370">
        <v>0</v>
      </c>
      <c r="N36" s="429"/>
      <c r="Q36" s="370"/>
    </row>
    <row r="37" spans="1:17" ht="12.75">
      <c r="A37" s="168" t="s">
        <v>129</v>
      </c>
      <c r="B37" s="467">
        <v>84</v>
      </c>
      <c r="C37" s="169"/>
      <c r="D37" s="423"/>
      <c r="E37" s="424">
        <f t="shared" si="5"/>
        <v>39.803328290468976</v>
      </c>
      <c r="F37" s="425">
        <f t="shared" si="6"/>
        <v>32.49028873080759</v>
      </c>
      <c r="G37" s="457"/>
      <c r="H37" s="427"/>
      <c r="I37" s="458">
        <f t="shared" si="7"/>
        <v>156.2936170212766</v>
      </c>
      <c r="J37" s="459"/>
      <c r="K37" s="428"/>
      <c r="L37" s="370">
        <v>0.12</v>
      </c>
      <c r="M37" s="370">
        <v>0.12</v>
      </c>
      <c r="N37" s="429"/>
      <c r="Q37" s="370"/>
    </row>
    <row r="38" spans="1:17" ht="12.75">
      <c r="A38" s="124" t="s">
        <v>61</v>
      </c>
      <c r="B38" s="422">
        <v>48</v>
      </c>
      <c r="C38" s="99">
        <v>126</v>
      </c>
      <c r="D38" s="461">
        <f>B38/C38</f>
        <v>0.38095238095238093</v>
      </c>
      <c r="E38" s="424">
        <f t="shared" si="5"/>
        <v>132.67776096822996</v>
      </c>
      <c r="F38" s="425">
        <f t="shared" si="6"/>
        <v>108.30096243602533</v>
      </c>
      <c r="G38" s="454">
        <v>167</v>
      </c>
      <c r="H38" s="455">
        <v>188</v>
      </c>
      <c r="I38" s="458">
        <f t="shared" si="7"/>
        <v>288.9787234042553</v>
      </c>
      <c r="J38" s="460">
        <f>C38+G38+H38</f>
        <v>481</v>
      </c>
      <c r="K38" s="433">
        <f>I38/J38</f>
        <v>0.6007873667448135</v>
      </c>
      <c r="L38" s="370">
        <v>0.4</v>
      </c>
      <c r="M38" s="370">
        <v>0.4</v>
      </c>
      <c r="N38" s="429"/>
      <c r="Q38" s="370"/>
    </row>
    <row r="39" spans="1:17" ht="12.75">
      <c r="A39" s="140" t="s">
        <v>167</v>
      </c>
      <c r="B39" s="422">
        <v>0</v>
      </c>
      <c r="C39" s="123">
        <v>81</v>
      </c>
      <c r="D39" s="423">
        <f>B39/C39</f>
        <v>0</v>
      </c>
      <c r="E39" s="424">
        <f t="shared" si="5"/>
        <v>0</v>
      </c>
      <c r="F39" s="425">
        <f t="shared" si="6"/>
        <v>0</v>
      </c>
      <c r="G39" s="457">
        <v>0</v>
      </c>
      <c r="H39" s="427">
        <v>0</v>
      </c>
      <c r="I39" s="458">
        <f t="shared" si="7"/>
        <v>0</v>
      </c>
      <c r="J39" s="459">
        <f>C39+G39+H39</f>
        <v>81</v>
      </c>
      <c r="K39" s="428">
        <f>I39/J39</f>
        <v>0</v>
      </c>
      <c r="L39" s="370"/>
      <c r="M39" s="370"/>
      <c r="N39" s="429"/>
      <c r="Q39" s="370"/>
    </row>
    <row r="40" spans="1:18" ht="12.75">
      <c r="A40" s="436" t="s">
        <v>22</v>
      </c>
      <c r="B40" s="437">
        <f>SUM(B29:B39)</f>
        <v>389</v>
      </c>
      <c r="C40" s="438">
        <f>C29+C30+C31+C34+C36+C38+C39</f>
        <v>732</v>
      </c>
      <c r="D40" s="439">
        <f>B40/C40</f>
        <v>0.5314207650273224</v>
      </c>
      <c r="E40" s="437">
        <f aca="true" t="shared" si="8" ref="E40:J40">SUM(E29:E39)</f>
        <v>1403.0673222390317</v>
      </c>
      <c r="F40" s="463">
        <f t="shared" si="8"/>
        <v>1145.2826777609678</v>
      </c>
      <c r="G40" s="464">
        <f t="shared" si="8"/>
        <v>1291</v>
      </c>
      <c r="H40" s="442">
        <f t="shared" si="8"/>
        <v>1454</v>
      </c>
      <c r="I40" s="465">
        <f t="shared" si="8"/>
        <v>2937.349999999999</v>
      </c>
      <c r="J40" s="441">
        <f t="shared" si="8"/>
        <v>3477</v>
      </c>
      <c r="K40" s="468">
        <f>+I40/J40</f>
        <v>0.8447943629565715</v>
      </c>
      <c r="L40" s="444"/>
      <c r="M40" s="444"/>
      <c r="N40" s="469"/>
      <c r="O40" s="444"/>
      <c r="P40" s="444"/>
      <c r="Q40" s="370"/>
      <c r="R40" s="370"/>
    </row>
    <row r="41" spans="1:17" ht="12.75">
      <c r="A41" s="470"/>
      <c r="B41" s="471"/>
      <c r="C41" s="472"/>
      <c r="D41" s="448"/>
      <c r="E41" s="424"/>
      <c r="F41" s="424"/>
      <c r="G41" s="454"/>
      <c r="H41" s="455"/>
      <c r="I41" s="451"/>
      <c r="J41" s="452"/>
      <c r="K41" s="394"/>
      <c r="L41" s="370"/>
      <c r="M41" s="370"/>
      <c r="Q41" s="370"/>
    </row>
    <row r="42" spans="1:17" ht="12.75">
      <c r="A42" s="153" t="s">
        <v>42</v>
      </c>
      <c r="B42" s="453"/>
      <c r="C42" s="132"/>
      <c r="D42" s="448"/>
      <c r="E42" s="424"/>
      <c r="F42" s="424"/>
      <c r="G42" s="454"/>
      <c r="H42" s="429"/>
      <c r="I42" s="456"/>
      <c r="J42" s="452"/>
      <c r="K42" s="394"/>
      <c r="L42" s="370"/>
      <c r="M42" s="370"/>
      <c r="Q42" s="370"/>
    </row>
    <row r="43" spans="1:17" ht="12.75">
      <c r="A43" s="140" t="s">
        <v>56</v>
      </c>
      <c r="B43" s="422">
        <v>186</v>
      </c>
      <c r="C43" s="123">
        <v>129</v>
      </c>
      <c r="D43" s="423">
        <f>B43/C43</f>
        <v>1.441860465116279</v>
      </c>
      <c r="E43" s="424">
        <f aca="true" t="shared" si="9" ref="E43:E51">L43/$L$67*$B$90</f>
        <v>165.84720121028744</v>
      </c>
      <c r="F43" s="425">
        <f aca="true" t="shared" si="10" ref="F43:F51">M43/$M$67*$B$92</f>
        <v>135.37620304503164</v>
      </c>
      <c r="G43" s="457">
        <v>125</v>
      </c>
      <c r="H43" s="427">
        <v>141</v>
      </c>
      <c r="I43" s="458">
        <f aca="true" t="shared" si="11" ref="I43:I51">B43+E43+F43</f>
        <v>487.2234042553191</v>
      </c>
      <c r="J43" s="459">
        <f aca="true" t="shared" si="12" ref="J43:J50">C43+G43+H43</f>
        <v>395</v>
      </c>
      <c r="K43" s="428">
        <f>I43/J43</f>
        <v>1.2334769727982762</v>
      </c>
      <c r="L43" s="370">
        <v>0.5</v>
      </c>
      <c r="M43" s="370">
        <v>0.5</v>
      </c>
      <c r="N43" s="429"/>
      <c r="Q43" s="370"/>
    </row>
    <row r="44" spans="1:17" ht="12.75">
      <c r="A44" s="124" t="s">
        <v>59</v>
      </c>
      <c r="B44" s="422">
        <v>0</v>
      </c>
      <c r="C44" s="99">
        <v>0</v>
      </c>
      <c r="D44" s="461"/>
      <c r="E44" s="424">
        <f t="shared" si="9"/>
        <v>3.316944024205749</v>
      </c>
      <c r="F44" s="425">
        <f t="shared" si="10"/>
        <v>2.7075240609006332</v>
      </c>
      <c r="G44" s="454">
        <v>0</v>
      </c>
      <c r="H44" s="455">
        <v>0</v>
      </c>
      <c r="I44" s="458">
        <f t="shared" si="11"/>
        <v>6.024468085106382</v>
      </c>
      <c r="J44" s="460">
        <f t="shared" si="12"/>
        <v>0</v>
      </c>
      <c r="K44" s="433"/>
      <c r="L44" s="370">
        <v>0.01</v>
      </c>
      <c r="M44" s="370">
        <v>0.01</v>
      </c>
      <c r="N44" s="429"/>
      <c r="Q44" s="370"/>
    </row>
    <row r="45" spans="1:17" ht="12.75">
      <c r="A45" s="140" t="s">
        <v>90</v>
      </c>
      <c r="B45" s="422">
        <v>82</v>
      </c>
      <c r="C45" s="123">
        <v>21</v>
      </c>
      <c r="D45" s="423">
        <f aca="true" t="shared" si="13" ref="D45:D50">B45/C45</f>
        <v>3.9047619047619047</v>
      </c>
      <c r="E45" s="424">
        <f t="shared" si="9"/>
        <v>0</v>
      </c>
      <c r="F45" s="425">
        <f t="shared" si="10"/>
        <v>0</v>
      </c>
      <c r="G45" s="457">
        <v>0</v>
      </c>
      <c r="H45" s="427">
        <v>0</v>
      </c>
      <c r="I45" s="458">
        <f t="shared" si="11"/>
        <v>82</v>
      </c>
      <c r="J45" s="459">
        <f t="shared" si="12"/>
        <v>21</v>
      </c>
      <c r="K45" s="428">
        <f aca="true" t="shared" si="14" ref="K45:K50">I45/J45</f>
        <v>3.9047619047619047</v>
      </c>
      <c r="L45" s="370">
        <v>0</v>
      </c>
      <c r="M45" s="370">
        <v>0</v>
      </c>
      <c r="N45" s="429"/>
      <c r="Q45" s="370"/>
    </row>
    <row r="46" spans="1:17" ht="12.75">
      <c r="A46" s="124" t="s">
        <v>62</v>
      </c>
      <c r="B46" s="422">
        <v>76</v>
      </c>
      <c r="C46" s="99">
        <v>0</v>
      </c>
      <c r="D46" s="461" t="e">
        <f t="shared" si="13"/>
        <v>#DIV/0!</v>
      </c>
      <c r="E46" s="424">
        <f t="shared" si="9"/>
        <v>145.94553706505295</v>
      </c>
      <c r="F46" s="425">
        <f t="shared" si="10"/>
        <v>119.13105867962786</v>
      </c>
      <c r="G46" s="454">
        <v>199</v>
      </c>
      <c r="H46" s="455">
        <v>224</v>
      </c>
      <c r="I46" s="458">
        <f t="shared" si="11"/>
        <v>341.0765957446808</v>
      </c>
      <c r="J46" s="460">
        <f t="shared" si="12"/>
        <v>423</v>
      </c>
      <c r="K46" s="433">
        <f t="shared" si="14"/>
        <v>0.8063276495146118</v>
      </c>
      <c r="L46" s="370">
        <v>0.44</v>
      </c>
      <c r="M46" s="370">
        <v>0.44</v>
      </c>
      <c r="N46" s="429"/>
      <c r="Q46" s="370"/>
    </row>
    <row r="47" spans="1:17" ht="12.75">
      <c r="A47" s="140" t="s">
        <v>57</v>
      </c>
      <c r="B47" s="422">
        <v>145</v>
      </c>
      <c r="C47" s="123">
        <v>178</v>
      </c>
      <c r="D47" s="423">
        <f t="shared" si="13"/>
        <v>0.8146067415730337</v>
      </c>
      <c r="E47" s="424">
        <f t="shared" si="9"/>
        <v>155.89636913767018</v>
      </c>
      <c r="F47" s="425">
        <f t="shared" si="10"/>
        <v>127.25363086232976</v>
      </c>
      <c r="G47" s="457">
        <v>0</v>
      </c>
      <c r="H47" s="427">
        <v>0</v>
      </c>
      <c r="I47" s="458">
        <f t="shared" si="11"/>
        <v>428.1499999999999</v>
      </c>
      <c r="J47" s="459">
        <f t="shared" si="12"/>
        <v>178</v>
      </c>
      <c r="K47" s="428">
        <f t="shared" si="14"/>
        <v>2.405337078651685</v>
      </c>
      <c r="L47" s="370">
        <v>0.47</v>
      </c>
      <c r="M47" s="370">
        <v>0.47</v>
      </c>
      <c r="N47" s="429"/>
      <c r="Q47" s="370"/>
    </row>
    <row r="48" spans="1:17" ht="12.75">
      <c r="A48" s="124" t="s">
        <v>58</v>
      </c>
      <c r="B48" s="422">
        <v>3</v>
      </c>
      <c r="C48" s="99">
        <v>19</v>
      </c>
      <c r="D48" s="461">
        <f t="shared" si="13"/>
        <v>0.15789473684210525</v>
      </c>
      <c r="E48" s="424">
        <f t="shared" si="9"/>
        <v>0</v>
      </c>
      <c r="F48" s="425">
        <f t="shared" si="10"/>
        <v>0</v>
      </c>
      <c r="G48" s="454">
        <v>0</v>
      </c>
      <c r="H48" s="455">
        <v>0</v>
      </c>
      <c r="I48" s="458">
        <f t="shared" si="11"/>
        <v>3</v>
      </c>
      <c r="J48" s="460">
        <f t="shared" si="12"/>
        <v>19</v>
      </c>
      <c r="K48" s="433">
        <f t="shared" si="14"/>
        <v>0.15789473684210525</v>
      </c>
      <c r="L48" s="370">
        <v>0</v>
      </c>
      <c r="M48" s="370">
        <v>0</v>
      </c>
      <c r="N48" s="429"/>
      <c r="Q48" s="370"/>
    </row>
    <row r="49" spans="1:17" ht="12.75">
      <c r="A49" s="140" t="s">
        <v>91</v>
      </c>
      <c r="B49" s="422">
        <v>4</v>
      </c>
      <c r="C49" s="123">
        <v>4</v>
      </c>
      <c r="D49" s="423">
        <f t="shared" si="13"/>
        <v>1</v>
      </c>
      <c r="E49" s="424">
        <f t="shared" si="9"/>
        <v>0</v>
      </c>
      <c r="F49" s="425">
        <f t="shared" si="10"/>
        <v>0</v>
      </c>
      <c r="G49" s="457">
        <v>0</v>
      </c>
      <c r="H49" s="427">
        <v>0</v>
      </c>
      <c r="I49" s="458">
        <f t="shared" si="11"/>
        <v>4</v>
      </c>
      <c r="J49" s="459">
        <f t="shared" si="12"/>
        <v>4</v>
      </c>
      <c r="K49" s="428">
        <f t="shared" si="14"/>
        <v>1</v>
      </c>
      <c r="L49" s="370">
        <v>0</v>
      </c>
      <c r="M49" s="370">
        <v>0</v>
      </c>
      <c r="N49" s="429"/>
      <c r="Q49" s="370"/>
    </row>
    <row r="50" spans="1:17" ht="12.75">
      <c r="A50" s="124" t="s">
        <v>60</v>
      </c>
      <c r="B50" s="422">
        <v>29</v>
      </c>
      <c r="C50" s="99">
        <v>38</v>
      </c>
      <c r="D50" s="461">
        <f t="shared" si="13"/>
        <v>0.7631578947368421</v>
      </c>
      <c r="E50" s="424">
        <f t="shared" si="9"/>
        <v>0</v>
      </c>
      <c r="F50" s="425">
        <f t="shared" si="10"/>
        <v>0</v>
      </c>
      <c r="G50" s="454">
        <v>0</v>
      </c>
      <c r="H50" s="455">
        <v>0</v>
      </c>
      <c r="I50" s="458">
        <f t="shared" si="11"/>
        <v>29</v>
      </c>
      <c r="J50" s="460">
        <f t="shared" si="12"/>
        <v>38</v>
      </c>
      <c r="K50" s="433">
        <f t="shared" si="14"/>
        <v>0.7631578947368421</v>
      </c>
      <c r="L50" s="370">
        <v>0</v>
      </c>
      <c r="M50" s="370">
        <v>0</v>
      </c>
      <c r="N50" s="429"/>
      <c r="Q50" s="370"/>
    </row>
    <row r="51" spans="1:17" ht="12.75">
      <c r="A51" s="140" t="s">
        <v>130</v>
      </c>
      <c r="B51" s="422">
        <v>1</v>
      </c>
      <c r="C51" s="123"/>
      <c r="D51" s="423"/>
      <c r="E51" s="424">
        <f t="shared" si="9"/>
        <v>0</v>
      </c>
      <c r="F51" s="425">
        <f t="shared" si="10"/>
        <v>0</v>
      </c>
      <c r="G51" s="457"/>
      <c r="H51" s="427"/>
      <c r="I51" s="458">
        <f t="shared" si="11"/>
        <v>1</v>
      </c>
      <c r="J51" s="459"/>
      <c r="K51" s="428"/>
      <c r="L51" s="370">
        <v>0</v>
      </c>
      <c r="M51" s="370">
        <v>0</v>
      </c>
      <c r="N51" s="429"/>
      <c r="Q51" s="370"/>
    </row>
    <row r="52" spans="1:18" ht="12.75">
      <c r="A52" s="436" t="s">
        <v>22</v>
      </c>
      <c r="B52" s="437">
        <f>SUM(B43:B51)</f>
        <v>526</v>
      </c>
      <c r="C52" s="438">
        <f>C43+C44+C45+C46+C47+C48+C49+C50</f>
        <v>389</v>
      </c>
      <c r="D52" s="439">
        <f>B52/C52</f>
        <v>1.352185089974293</v>
      </c>
      <c r="E52" s="437">
        <f>SUM(E43:E50)</f>
        <v>471.00605143721634</v>
      </c>
      <c r="F52" s="463">
        <f>SUM(F43:F50)</f>
        <v>384.4684166478899</v>
      </c>
      <c r="G52" s="464">
        <f>SUM(G43:G50)</f>
        <v>324</v>
      </c>
      <c r="H52" s="442">
        <f>SUM(H43:H50)</f>
        <v>365</v>
      </c>
      <c r="I52" s="465">
        <f>SUM(I43:I51)</f>
        <v>1381.474468085106</v>
      </c>
      <c r="J52" s="441">
        <f>SUM(J43:J50)</f>
        <v>1078</v>
      </c>
      <c r="K52" s="473">
        <f>I52/J52</f>
        <v>1.2815162041605808</v>
      </c>
      <c r="L52" s="444"/>
      <c r="M52" s="444"/>
      <c r="N52" s="445"/>
      <c r="O52" s="444"/>
      <c r="P52" s="444"/>
      <c r="Q52" s="370"/>
      <c r="R52" s="370"/>
    </row>
    <row r="53" spans="1:17" ht="12.75">
      <c r="A53" s="470"/>
      <c r="B53" s="474"/>
      <c r="C53" s="475"/>
      <c r="D53" s="476"/>
      <c r="E53" s="424"/>
      <c r="F53" s="424"/>
      <c r="G53" s="454"/>
      <c r="H53" s="455"/>
      <c r="I53" s="451"/>
      <c r="J53" s="477"/>
      <c r="K53" s="421"/>
      <c r="L53" s="370"/>
      <c r="M53" s="370"/>
      <c r="Q53" s="370"/>
    </row>
    <row r="54" spans="1:17" ht="12.75">
      <c r="A54" s="153" t="s">
        <v>140</v>
      </c>
      <c r="B54" s="453"/>
      <c r="C54" s="132"/>
      <c r="D54" s="448"/>
      <c r="E54" s="434"/>
      <c r="F54" s="434"/>
      <c r="G54" s="454"/>
      <c r="H54" s="455"/>
      <c r="I54" s="456"/>
      <c r="J54" s="478"/>
      <c r="K54" s="421"/>
      <c r="L54" s="370"/>
      <c r="M54" s="370"/>
      <c r="Q54" s="370"/>
    </row>
    <row r="55" spans="1:17" ht="12.75">
      <c r="A55" s="168" t="s">
        <v>168</v>
      </c>
      <c r="B55" s="467">
        <v>2563</v>
      </c>
      <c r="C55" s="169"/>
      <c r="D55" s="479"/>
      <c r="E55" s="424">
        <f aca="true" t="shared" si="15" ref="E55:E62">L55/$L$67*$B$90</f>
        <v>421.25189107413007</v>
      </c>
      <c r="F55" s="425">
        <f aca="true" t="shared" si="16" ref="F55:F62">M55/$M$67*$B$92</f>
        <v>343.8555557343804</v>
      </c>
      <c r="G55" s="457"/>
      <c r="H55" s="427"/>
      <c r="I55" s="458">
        <f aca="true" t="shared" si="17" ref="I55:I62">B55+E55+F55</f>
        <v>3328.1074468085103</v>
      </c>
      <c r="J55" s="459"/>
      <c r="K55" s="427"/>
      <c r="L55" s="370">
        <v>1.27</v>
      </c>
      <c r="M55" s="370">
        <v>1.27</v>
      </c>
      <c r="Q55" s="370"/>
    </row>
    <row r="56" spans="1:17" ht="12.75">
      <c r="A56" s="154" t="s">
        <v>132</v>
      </c>
      <c r="B56" s="467">
        <v>939</v>
      </c>
      <c r="C56" s="134"/>
      <c r="D56" s="480"/>
      <c r="E56" s="424">
        <f t="shared" si="15"/>
        <v>92.87443267776096</v>
      </c>
      <c r="F56" s="425">
        <f t="shared" si="16"/>
        <v>75.81067370521772</v>
      </c>
      <c r="G56" s="462"/>
      <c r="H56" s="432"/>
      <c r="I56" s="458">
        <f t="shared" si="17"/>
        <v>1107.6851063829788</v>
      </c>
      <c r="J56" s="460"/>
      <c r="K56" s="432"/>
      <c r="L56" s="370">
        <v>0.28</v>
      </c>
      <c r="M56" s="370">
        <v>0.28</v>
      </c>
      <c r="Q56" s="370"/>
    </row>
    <row r="57" spans="1:17" ht="12.75">
      <c r="A57" s="168" t="s">
        <v>133</v>
      </c>
      <c r="B57" s="467">
        <v>1748</v>
      </c>
      <c r="C57" s="169"/>
      <c r="D57" s="479"/>
      <c r="E57" s="424">
        <f t="shared" si="15"/>
        <v>318.4266263237518</v>
      </c>
      <c r="F57" s="425">
        <f t="shared" si="16"/>
        <v>259.92230984646073</v>
      </c>
      <c r="G57" s="457"/>
      <c r="H57" s="427"/>
      <c r="I57" s="458">
        <f t="shared" si="17"/>
        <v>2326.3489361702127</v>
      </c>
      <c r="J57" s="459"/>
      <c r="K57" s="427"/>
      <c r="L57" s="370">
        <v>0.96</v>
      </c>
      <c r="M57" s="370">
        <v>0.96</v>
      </c>
      <c r="Q57" s="370"/>
    </row>
    <row r="58" spans="1:17" ht="12.75">
      <c r="A58" s="124" t="s">
        <v>169</v>
      </c>
      <c r="B58" s="422">
        <v>0</v>
      </c>
      <c r="C58" s="99">
        <v>1522</v>
      </c>
      <c r="D58" s="430">
        <f>B58/C58</f>
        <v>0</v>
      </c>
      <c r="E58" s="424">
        <f t="shared" si="15"/>
        <v>0</v>
      </c>
      <c r="F58" s="425">
        <f t="shared" si="16"/>
        <v>0</v>
      </c>
      <c r="G58" s="462">
        <v>212</v>
      </c>
      <c r="H58" s="432">
        <v>239</v>
      </c>
      <c r="I58" s="458">
        <f t="shared" si="17"/>
        <v>0</v>
      </c>
      <c r="J58" s="460">
        <f>C58+G58+H58</f>
        <v>1973</v>
      </c>
      <c r="K58" s="433">
        <f>I58/J58</f>
        <v>0</v>
      </c>
      <c r="L58" s="370">
        <v>0</v>
      </c>
      <c r="M58" s="370">
        <v>0</v>
      </c>
      <c r="N58" s="429"/>
      <c r="Q58" s="370"/>
    </row>
    <row r="59" spans="1:17" ht="12.75">
      <c r="A59" s="140" t="s">
        <v>170</v>
      </c>
      <c r="B59" s="422">
        <v>0</v>
      </c>
      <c r="C59" s="123">
        <v>4719</v>
      </c>
      <c r="D59" s="423"/>
      <c r="E59" s="424">
        <f t="shared" si="15"/>
        <v>0</v>
      </c>
      <c r="F59" s="425">
        <f t="shared" si="16"/>
        <v>0</v>
      </c>
      <c r="G59" s="457">
        <v>212</v>
      </c>
      <c r="H59" s="427">
        <v>239</v>
      </c>
      <c r="I59" s="458">
        <f t="shared" si="17"/>
        <v>0</v>
      </c>
      <c r="J59" s="459">
        <f>C59+G59+H59</f>
        <v>5170</v>
      </c>
      <c r="K59" s="428">
        <f>I59/J59</f>
        <v>0</v>
      </c>
      <c r="L59" s="370">
        <v>0</v>
      </c>
      <c r="M59" s="370">
        <v>0</v>
      </c>
      <c r="N59" s="429"/>
      <c r="Q59" s="370"/>
    </row>
    <row r="60" spans="1:17" ht="12.75">
      <c r="A60" s="124" t="s">
        <v>3</v>
      </c>
      <c r="B60" s="422">
        <v>23</v>
      </c>
      <c r="C60" s="99">
        <v>61</v>
      </c>
      <c r="D60" s="430">
        <f>B60/C60</f>
        <v>0.3770491803278688</v>
      </c>
      <c r="E60" s="424">
        <f t="shared" si="15"/>
        <v>0</v>
      </c>
      <c r="F60" s="425">
        <f t="shared" si="16"/>
        <v>0</v>
      </c>
      <c r="G60" s="462">
        <v>0</v>
      </c>
      <c r="H60" s="432">
        <v>0</v>
      </c>
      <c r="I60" s="458">
        <f t="shared" si="17"/>
        <v>23</v>
      </c>
      <c r="J60" s="460">
        <f>C60+G60+H60</f>
        <v>61</v>
      </c>
      <c r="K60" s="433">
        <f>I60/J60</f>
        <v>0.3770491803278688</v>
      </c>
      <c r="L60" s="370">
        <v>0</v>
      </c>
      <c r="M60" s="370">
        <v>0</v>
      </c>
      <c r="N60" s="429"/>
      <c r="Q60" s="370"/>
    </row>
    <row r="61" spans="1:17" ht="12.75">
      <c r="A61" s="140" t="s">
        <v>134</v>
      </c>
      <c r="B61" s="422">
        <v>70</v>
      </c>
      <c r="C61" s="123">
        <v>0</v>
      </c>
      <c r="D61" s="423"/>
      <c r="E61" s="424">
        <f t="shared" si="15"/>
        <v>364.8638426626324</v>
      </c>
      <c r="F61" s="425">
        <f t="shared" si="16"/>
        <v>297.8276466990697</v>
      </c>
      <c r="G61" s="457">
        <v>0</v>
      </c>
      <c r="H61" s="427">
        <v>0</v>
      </c>
      <c r="I61" s="458">
        <f t="shared" si="17"/>
        <v>732.6914893617021</v>
      </c>
      <c r="J61" s="459">
        <f>C61+G61+H61</f>
        <v>0</v>
      </c>
      <c r="K61" s="428"/>
      <c r="L61" s="370">
        <v>1.1</v>
      </c>
      <c r="M61" s="370">
        <v>1.1</v>
      </c>
      <c r="N61" s="429"/>
      <c r="Q61" s="370"/>
    </row>
    <row r="62" spans="1:17" ht="12.75">
      <c r="A62" s="155" t="s">
        <v>104</v>
      </c>
      <c r="B62" s="481">
        <v>-547</v>
      </c>
      <c r="C62" s="103">
        <v>-467</v>
      </c>
      <c r="D62" s="461">
        <f>B62/C62</f>
        <v>1.171306209850107</v>
      </c>
      <c r="E62" s="424">
        <f t="shared" si="15"/>
        <v>0</v>
      </c>
      <c r="F62" s="425">
        <f t="shared" si="16"/>
        <v>0</v>
      </c>
      <c r="G62" s="482"/>
      <c r="H62" s="483"/>
      <c r="I62" s="484">
        <f t="shared" si="17"/>
        <v>-547</v>
      </c>
      <c r="J62" s="460">
        <f>C62+G62+H62</f>
        <v>-467</v>
      </c>
      <c r="K62" s="433">
        <f>I62/J62</f>
        <v>1.171306209850107</v>
      </c>
      <c r="L62" s="370"/>
      <c r="M62" s="370"/>
      <c r="N62" s="429"/>
      <c r="Q62" s="370"/>
    </row>
    <row r="63" spans="1:17" ht="12.75">
      <c r="A63" s="436" t="s">
        <v>22</v>
      </c>
      <c r="B63" s="485">
        <f>SUM(B55:B62)</f>
        <v>4796</v>
      </c>
      <c r="C63" s="486">
        <f>C58+C59+C60+C61+C62</f>
        <v>5835</v>
      </c>
      <c r="D63" s="487">
        <f>B63/C63</f>
        <v>0.821936589545844</v>
      </c>
      <c r="E63" s="485">
        <f>SUM(E58:E62)</f>
        <v>364.8638426626324</v>
      </c>
      <c r="F63" s="463">
        <f>SUM(F58:F62)</f>
        <v>297.8276466990697</v>
      </c>
      <c r="G63" s="464">
        <f>SUM(G58:G62)</f>
        <v>424</v>
      </c>
      <c r="H63" s="442">
        <f>SUM(H58:H62)</f>
        <v>478</v>
      </c>
      <c r="I63" s="488">
        <f>SUM(I55:I62)</f>
        <v>6970.832978723404</v>
      </c>
      <c r="J63" s="486">
        <f>SUM(J58:J62)</f>
        <v>6737</v>
      </c>
      <c r="K63" s="473">
        <f>I63/J63</f>
        <v>1.034708769292475</v>
      </c>
      <c r="L63" s="444"/>
      <c r="M63" s="444"/>
      <c r="N63" s="445"/>
      <c r="O63" s="444"/>
      <c r="P63" s="444"/>
      <c r="Q63" s="370"/>
    </row>
    <row r="64" spans="1:17" ht="12.75">
      <c r="A64" s="489"/>
      <c r="B64" s="490"/>
      <c r="C64" s="491"/>
      <c r="D64" s="461"/>
      <c r="E64" s="492"/>
      <c r="F64" s="493"/>
      <c r="G64" s="494"/>
      <c r="H64" s="495"/>
      <c r="I64" s="496"/>
      <c r="J64" s="497"/>
      <c r="K64" s="498"/>
      <c r="L64" s="370"/>
      <c r="M64" s="370"/>
      <c r="N64" s="445"/>
      <c r="Q64" s="370"/>
    </row>
    <row r="65" spans="1:17" ht="12.75">
      <c r="A65" s="499"/>
      <c r="B65" s="500"/>
      <c r="C65" s="478"/>
      <c r="D65" s="461"/>
      <c r="E65" s="500"/>
      <c r="F65" s="434"/>
      <c r="G65" s="454"/>
      <c r="H65" s="455"/>
      <c r="I65" s="458"/>
      <c r="J65" s="429"/>
      <c r="K65" s="394"/>
      <c r="L65" s="370"/>
      <c r="M65" s="370"/>
      <c r="N65" s="445"/>
      <c r="Q65" s="370"/>
    </row>
    <row r="66" spans="2:17" ht="12.75">
      <c r="B66" s="446"/>
      <c r="C66" s="447"/>
      <c r="D66" s="461"/>
      <c r="E66" s="500"/>
      <c r="F66" s="434"/>
      <c r="G66" s="454"/>
      <c r="H66" s="455"/>
      <c r="I66" s="456"/>
      <c r="J66" s="429"/>
      <c r="K66" s="394"/>
      <c r="L66" s="370"/>
      <c r="M66" s="370"/>
      <c r="N66" s="445"/>
      <c r="Q66" s="370"/>
    </row>
    <row r="67" spans="1:17" ht="12.75">
      <c r="A67" s="501" t="s">
        <v>43</v>
      </c>
      <c r="B67" s="485">
        <f>B15+B26+B40+B52+B63</f>
        <v>9907</v>
      </c>
      <c r="C67" s="486">
        <f>C15+C26+C40+C52+C63</f>
        <v>11172</v>
      </c>
      <c r="D67" s="487">
        <f>B67/C67</f>
        <v>0.8867704976727533</v>
      </c>
      <c r="E67" s="485">
        <f aca="true" t="shared" si="18" ref="E67:J67">E15+E26+E40+E52+E63</f>
        <v>5403.301815431164</v>
      </c>
      <c r="F67" s="502">
        <f t="shared" si="18"/>
        <v>4410.556695207132</v>
      </c>
      <c r="G67" s="503">
        <f t="shared" si="18"/>
        <v>4730</v>
      </c>
      <c r="H67" s="503">
        <f t="shared" si="18"/>
        <v>5326</v>
      </c>
      <c r="I67" s="488">
        <f t="shared" si="18"/>
        <v>21232.999999999996</v>
      </c>
      <c r="J67" s="504">
        <f t="shared" si="18"/>
        <v>21228</v>
      </c>
      <c r="K67" s="466">
        <f>I67/J67</f>
        <v>1.0002355379687204</v>
      </c>
      <c r="L67" s="444">
        <f>SUM(L10:L66)</f>
        <v>18.800000000000004</v>
      </c>
      <c r="M67" s="444">
        <f>SUM(M10:M66)</f>
        <v>18.800000000000004</v>
      </c>
      <c r="N67" s="505"/>
      <c r="O67" s="444"/>
      <c r="P67" s="444"/>
      <c r="Q67" s="370"/>
    </row>
    <row r="68" spans="2:17" ht="12.75">
      <c r="B68" s="446"/>
      <c r="C68" s="447"/>
      <c r="D68" s="448"/>
      <c r="E68" s="417"/>
      <c r="F68" s="417"/>
      <c r="G68" s="506"/>
      <c r="H68" s="420"/>
      <c r="I68" s="456"/>
      <c r="J68" s="452"/>
      <c r="K68" s="394"/>
      <c r="L68" s="445"/>
      <c r="M68" s="445"/>
      <c r="N68" s="445"/>
      <c r="Q68" s="370"/>
    </row>
    <row r="69" spans="1:18" ht="12.75">
      <c r="A69" s="153" t="s">
        <v>92</v>
      </c>
      <c r="B69" s="453"/>
      <c r="C69" s="132"/>
      <c r="D69" s="448"/>
      <c r="E69" s="417"/>
      <c r="F69" s="417"/>
      <c r="G69" s="506"/>
      <c r="H69" s="420"/>
      <c r="I69" s="456"/>
      <c r="J69" s="452"/>
      <c r="K69" s="394"/>
      <c r="M69" s="452"/>
      <c r="Q69" s="370"/>
      <c r="R69" s="370"/>
    </row>
    <row r="70" spans="1:17" ht="12.75">
      <c r="A70" s="140" t="s">
        <v>44</v>
      </c>
      <c r="B70" s="422">
        <v>1657</v>
      </c>
      <c r="C70" s="123">
        <v>1672</v>
      </c>
      <c r="D70" s="423">
        <f>B70/C70</f>
        <v>0.9910287081339713</v>
      </c>
      <c r="E70" s="417"/>
      <c r="F70" s="417"/>
      <c r="G70" s="507"/>
      <c r="H70" s="508"/>
      <c r="I70" s="456"/>
      <c r="J70" s="426"/>
      <c r="K70" s="509"/>
      <c r="Q70" s="370"/>
    </row>
    <row r="71" spans="1:17" ht="12.75">
      <c r="A71" s="124" t="s">
        <v>93</v>
      </c>
      <c r="B71" s="422">
        <v>35</v>
      </c>
      <c r="C71" s="99">
        <v>0</v>
      </c>
      <c r="D71" s="461"/>
      <c r="E71" s="417"/>
      <c r="F71" s="417"/>
      <c r="G71" s="506"/>
      <c r="H71" s="420"/>
      <c r="I71" s="456"/>
      <c r="J71" s="452"/>
      <c r="K71" s="394"/>
      <c r="Q71" s="370"/>
    </row>
    <row r="72" spans="1:17" ht="12.75">
      <c r="A72" s="140" t="s">
        <v>94</v>
      </c>
      <c r="B72" s="422">
        <v>291</v>
      </c>
      <c r="C72" s="123">
        <v>235</v>
      </c>
      <c r="D72" s="423">
        <f>B72/C72</f>
        <v>1.2382978723404254</v>
      </c>
      <c r="E72" s="417"/>
      <c r="F72" s="417"/>
      <c r="G72" s="507"/>
      <c r="H72" s="508"/>
      <c r="I72" s="456"/>
      <c r="J72" s="426"/>
      <c r="K72" s="509"/>
      <c r="Q72" s="370"/>
    </row>
    <row r="73" spans="1:17" ht="12.75">
      <c r="A73" s="124" t="s">
        <v>45</v>
      </c>
      <c r="B73" s="422">
        <v>79</v>
      </c>
      <c r="C73" s="99">
        <v>121</v>
      </c>
      <c r="D73" s="461">
        <f>B73/C73</f>
        <v>0.6528925619834711</v>
      </c>
      <c r="E73" s="417"/>
      <c r="F73" s="417"/>
      <c r="G73" s="506"/>
      <c r="H73" s="420"/>
      <c r="I73" s="456"/>
      <c r="J73" s="452"/>
      <c r="K73" s="394"/>
      <c r="Q73" s="370"/>
    </row>
    <row r="74" spans="1:17" ht="12.75">
      <c r="A74" s="140" t="s">
        <v>46</v>
      </c>
      <c r="B74" s="422">
        <v>494</v>
      </c>
      <c r="C74" s="123">
        <v>324</v>
      </c>
      <c r="D74" s="423">
        <f>B74/C74</f>
        <v>1.5246913580246915</v>
      </c>
      <c r="E74" s="417"/>
      <c r="F74" s="417"/>
      <c r="G74" s="507"/>
      <c r="H74" s="508"/>
      <c r="I74" s="456"/>
      <c r="J74" s="426"/>
      <c r="K74" s="509"/>
      <c r="Q74" s="370"/>
    </row>
    <row r="75" spans="1:17" ht="12.75">
      <c r="A75" s="124" t="s">
        <v>95</v>
      </c>
      <c r="B75" s="422">
        <v>8770</v>
      </c>
      <c r="C75" s="99">
        <v>7704</v>
      </c>
      <c r="D75" s="461">
        <f>B75/C75</f>
        <v>1.1383696780893042</v>
      </c>
      <c r="E75" s="417"/>
      <c r="F75" s="417"/>
      <c r="G75" s="506"/>
      <c r="H75" s="420"/>
      <c r="I75" s="456"/>
      <c r="J75" s="452"/>
      <c r="K75" s="394"/>
      <c r="M75" s="510"/>
      <c r="Q75" s="370"/>
    </row>
    <row r="76" spans="1:17" ht="12.75">
      <c r="A76" s="436" t="s">
        <v>22</v>
      </c>
      <c r="B76" s="437">
        <f>SUM(B70:B75)</f>
        <v>11326</v>
      </c>
      <c r="C76" s="438">
        <f>SUM(C70:C75)</f>
        <v>10056</v>
      </c>
      <c r="D76" s="487">
        <f>B76/C76</f>
        <v>1.1262927605409705</v>
      </c>
      <c r="E76" s="417"/>
      <c r="F76" s="417"/>
      <c r="G76" s="506"/>
      <c r="H76" s="420"/>
      <c r="I76" s="456"/>
      <c r="J76" s="452"/>
      <c r="K76" s="394"/>
      <c r="L76" s="385"/>
      <c r="M76" s="511"/>
      <c r="O76" s="368"/>
      <c r="Q76" s="370"/>
    </row>
    <row r="77" spans="1:17" ht="12.75">
      <c r="A77" s="489"/>
      <c r="B77" s="512"/>
      <c r="C77" s="513"/>
      <c r="D77" s="448"/>
      <c r="E77" s="514"/>
      <c r="F77" s="514"/>
      <c r="G77" s="515"/>
      <c r="H77" s="419"/>
      <c r="I77" s="451"/>
      <c r="J77" s="516"/>
      <c r="K77" s="384"/>
      <c r="L77" s="385"/>
      <c r="M77" s="385"/>
      <c r="Q77" s="370"/>
    </row>
    <row r="78" spans="1:17" ht="12.75">
      <c r="A78" s="501" t="s">
        <v>171</v>
      </c>
      <c r="B78" s="437">
        <f>B15+B26+B40+B52+B63+B76</f>
        <v>21233</v>
      </c>
      <c r="C78" s="438">
        <f>C67+C76</f>
        <v>21228</v>
      </c>
      <c r="D78" s="517">
        <f>B78/C78</f>
        <v>1.0002355379687207</v>
      </c>
      <c r="E78" s="518"/>
      <c r="F78" s="518"/>
      <c r="G78" s="519"/>
      <c r="H78" s="520"/>
      <c r="I78" s="465">
        <f>I67</f>
        <v>21232.999999999996</v>
      </c>
      <c r="J78" s="441">
        <f>J67</f>
        <v>21228</v>
      </c>
      <c r="K78" s="466"/>
      <c r="L78" s="445"/>
      <c r="M78" s="445"/>
      <c r="N78" s="385"/>
      <c r="Q78" s="370"/>
    </row>
    <row r="79" spans="2:17" ht="12.75">
      <c r="B79" s="446"/>
      <c r="C79" s="447"/>
      <c r="D79" s="448"/>
      <c r="E79" s="417"/>
      <c r="F79" s="417"/>
      <c r="G79" s="506"/>
      <c r="H79" s="420"/>
      <c r="I79" s="456"/>
      <c r="J79" s="452"/>
      <c r="K79" s="394"/>
      <c r="N79" s="445"/>
      <c r="Q79" s="370"/>
    </row>
    <row r="80" spans="1:17" ht="12.75">
      <c r="A80" s="371" t="s">
        <v>96</v>
      </c>
      <c r="B80" s="446"/>
      <c r="C80" s="447"/>
      <c r="D80" s="448"/>
      <c r="E80" s="417"/>
      <c r="F80" s="417"/>
      <c r="G80" s="506"/>
      <c r="H80" s="420"/>
      <c r="I80" s="456"/>
      <c r="J80" s="452"/>
      <c r="K80" s="394"/>
      <c r="M80" s="370"/>
      <c r="Q80" s="370"/>
    </row>
    <row r="81" spans="1:17" ht="12.75">
      <c r="A81" s="521" t="s">
        <v>172</v>
      </c>
      <c r="B81" s="471">
        <v>10000</v>
      </c>
      <c r="C81" s="522">
        <v>9233</v>
      </c>
      <c r="D81" s="423">
        <f>B81/C81</f>
        <v>1.0830715910321673</v>
      </c>
      <c r="E81" s="417"/>
      <c r="F81" s="523"/>
      <c r="G81" s="507"/>
      <c r="H81" s="508"/>
      <c r="I81" s="458">
        <f>B81</f>
        <v>10000</v>
      </c>
      <c r="J81" s="524">
        <f>C81</f>
        <v>9233</v>
      </c>
      <c r="K81" s="509"/>
      <c r="L81" s="429"/>
      <c r="M81" s="429"/>
      <c r="Q81" s="370"/>
    </row>
    <row r="82" spans="1:17" ht="12.75">
      <c r="A82" s="525" t="s">
        <v>135</v>
      </c>
      <c r="B82" s="471">
        <v>128</v>
      </c>
      <c r="C82" s="526"/>
      <c r="D82" s="430"/>
      <c r="E82" s="417"/>
      <c r="F82" s="523"/>
      <c r="G82" s="527"/>
      <c r="H82" s="528"/>
      <c r="I82" s="458">
        <f>B82</f>
        <v>128</v>
      </c>
      <c r="J82" s="435"/>
      <c r="K82" s="529"/>
      <c r="L82" s="429"/>
      <c r="M82" s="429"/>
      <c r="Q82" s="370"/>
    </row>
    <row r="83" spans="1:17" ht="12.75">
      <c r="A83" s="436" t="s">
        <v>22</v>
      </c>
      <c r="B83" s="485">
        <f>SUM(B81:B82)</f>
        <v>10128</v>
      </c>
      <c r="C83" s="486">
        <f>C81</f>
        <v>9233</v>
      </c>
      <c r="D83" s="530">
        <f>B83/C83</f>
        <v>1.0969349073973789</v>
      </c>
      <c r="E83" s="518"/>
      <c r="F83" s="518"/>
      <c r="G83" s="519"/>
      <c r="H83" s="520"/>
      <c r="I83" s="488">
        <f>SUM(I81:I82)</f>
        <v>10128</v>
      </c>
      <c r="J83" s="503">
        <f>J81</f>
        <v>9233</v>
      </c>
      <c r="K83" s="466"/>
      <c r="L83" s="445"/>
      <c r="M83" s="445"/>
      <c r="N83" s="429"/>
      <c r="Q83" s="370"/>
    </row>
    <row r="84" spans="2:17" ht="12.75">
      <c r="B84" s="446"/>
      <c r="C84" s="447"/>
      <c r="D84" s="531"/>
      <c r="E84" s="417"/>
      <c r="F84" s="417"/>
      <c r="G84" s="506"/>
      <c r="H84" s="420"/>
      <c r="I84" s="456"/>
      <c r="J84" s="452"/>
      <c r="K84" s="394"/>
      <c r="N84" s="445"/>
      <c r="Q84" s="370"/>
    </row>
    <row r="85" spans="1:17" ht="12.75">
      <c r="A85" s="532" t="s">
        <v>173</v>
      </c>
      <c r="B85" s="533">
        <f>B78+B83</f>
        <v>31361</v>
      </c>
      <c r="C85" s="534">
        <f>C83+C78</f>
        <v>30461</v>
      </c>
      <c r="D85" s="439">
        <f>B85/C85</f>
        <v>1.0295459768228226</v>
      </c>
      <c r="E85" s="535"/>
      <c r="F85" s="535"/>
      <c r="G85" s="536"/>
      <c r="H85" s="537"/>
      <c r="I85" s="538">
        <f>I67+I83</f>
        <v>31360.999999999996</v>
      </c>
      <c r="J85" s="539">
        <f>J67+J83</f>
        <v>30461</v>
      </c>
      <c r="K85" s="540"/>
      <c r="L85" s="445"/>
      <c r="M85" s="445"/>
      <c r="Q85" s="370"/>
    </row>
    <row r="86" spans="3:17" ht="12.75">
      <c r="C86" s="452"/>
      <c r="N86" s="445"/>
      <c r="Q86" s="370"/>
    </row>
    <row r="87" spans="2:17" ht="12.75">
      <c r="B87" s="452"/>
      <c r="C87" s="452"/>
      <c r="G87" s="452"/>
      <c r="I87" s="452"/>
      <c r="L87" s="515" t="s">
        <v>160</v>
      </c>
      <c r="M87" s="419">
        <v>7.64</v>
      </c>
      <c r="Q87" s="370"/>
    </row>
    <row r="88" spans="1:17" ht="12.75">
      <c r="A88" s="541" t="s">
        <v>49</v>
      </c>
      <c r="B88" s="542">
        <v>2007</v>
      </c>
      <c r="C88" s="542">
        <v>2006</v>
      </c>
      <c r="D88" s="543" t="s">
        <v>174</v>
      </c>
      <c r="E88" s="544"/>
      <c r="F88" s="545"/>
      <c r="L88" s="506"/>
      <c r="M88" s="546"/>
      <c r="Q88" s="370"/>
    </row>
    <row r="89" spans="1:17" ht="13.5" thickBot="1">
      <c r="A89" s="397" t="s">
        <v>175</v>
      </c>
      <c r="B89" s="452">
        <f>B67</f>
        <v>9907</v>
      </c>
      <c r="C89" s="452">
        <v>11172</v>
      </c>
      <c r="D89" s="374"/>
      <c r="E89" s="544"/>
      <c r="F89" s="547"/>
      <c r="L89" s="506" t="s">
        <v>176</v>
      </c>
      <c r="M89" s="420">
        <f>SUM(M87:M88)</f>
        <v>7.64</v>
      </c>
      <c r="Q89" s="370"/>
    </row>
    <row r="90" spans="1:17" ht="12.75">
      <c r="A90" s="548" t="s">
        <v>177</v>
      </c>
      <c r="B90" s="549">
        <f>(M67/M90)*B75</f>
        <v>6235.854765506809</v>
      </c>
      <c r="C90" s="549">
        <v>4731</v>
      </c>
      <c r="D90" s="550"/>
      <c r="E90" s="544"/>
      <c r="F90" s="547"/>
      <c r="J90" s="452"/>
      <c r="L90" s="551" t="s">
        <v>101</v>
      </c>
      <c r="M90" s="552">
        <f>M67+M87+M88</f>
        <v>26.440000000000005</v>
      </c>
      <c r="Q90" s="370"/>
    </row>
    <row r="91" spans="1:17" ht="12.75">
      <c r="A91" s="397" t="s">
        <v>178</v>
      </c>
      <c r="B91" s="452">
        <f>B89+B90</f>
        <v>16142.854765506809</v>
      </c>
      <c r="C91" s="452">
        <f>C89+C90</f>
        <v>15903</v>
      </c>
      <c r="D91" s="374"/>
      <c r="E91" s="544"/>
      <c r="F91" s="452"/>
      <c r="Q91" s="370"/>
    </row>
    <row r="92" spans="1:17" ht="12.75">
      <c r="A92" s="548" t="s">
        <v>179</v>
      </c>
      <c r="B92" s="549">
        <f>((M89/M90)*B75)+B70+B71+B72+B73+B74</f>
        <v>5090.145234493191</v>
      </c>
      <c r="C92" s="549">
        <v>5325</v>
      </c>
      <c r="D92" s="550"/>
      <c r="E92" s="544"/>
      <c r="F92" s="553"/>
      <c r="H92" s="452"/>
      <c r="Q92" s="370"/>
    </row>
    <row r="93" spans="1:17" ht="12.75">
      <c r="A93" s="397" t="s">
        <v>180</v>
      </c>
      <c r="B93" s="452">
        <f>B91+B92</f>
        <v>21233</v>
      </c>
      <c r="C93" s="452">
        <f>C91+C92</f>
        <v>21228</v>
      </c>
      <c r="D93" s="374"/>
      <c r="E93" s="544"/>
      <c r="F93" s="452"/>
      <c r="Q93" s="370"/>
    </row>
    <row r="94" spans="1:17" ht="12.75">
      <c r="A94" s="548" t="s">
        <v>97</v>
      </c>
      <c r="B94" s="549">
        <f>B83</f>
        <v>10128</v>
      </c>
      <c r="C94" s="549">
        <f>C83</f>
        <v>9233</v>
      </c>
      <c r="D94" s="550"/>
      <c r="E94" s="544"/>
      <c r="F94" s="553"/>
      <c r="Q94" s="370"/>
    </row>
    <row r="95" spans="1:17" ht="12.75">
      <c r="A95" s="371" t="s">
        <v>181</v>
      </c>
      <c r="B95" s="554">
        <f>B93+B94</f>
        <v>31361</v>
      </c>
      <c r="C95" s="554">
        <f>C93+C94</f>
        <v>30461</v>
      </c>
      <c r="D95" s="555"/>
      <c r="E95" s="544"/>
      <c r="F95" s="556"/>
      <c r="Q95" s="370"/>
    </row>
    <row r="96" spans="2:17" ht="12.75">
      <c r="B96" s="452"/>
      <c r="G96" s="557"/>
      <c r="Q96" s="370"/>
    </row>
    <row r="97" spans="1:17" ht="12.75">
      <c r="A97" s="371"/>
      <c r="B97" s="452"/>
      <c r="G97" s="557"/>
      <c r="Q97" s="370"/>
    </row>
  </sheetData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scale="61" r:id="rId3"/>
  <rowBreaks count="1" manualBreakCount="1">
    <brk id="8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Wesslenius</dc:creator>
  <cp:keywords/>
  <dc:description/>
  <cp:lastModifiedBy>Datoransvarig</cp:lastModifiedBy>
  <cp:lastPrinted>2007-10-03T08:03:02Z</cp:lastPrinted>
  <dcterms:created xsi:type="dcterms:W3CDTF">1999-09-02T09:23:55Z</dcterms:created>
  <dcterms:modified xsi:type="dcterms:W3CDTF">2006-11-21T13:17:19Z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