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ate1904="1" codeName="ThisWorkbook"/>
  <bookViews>
    <workbookView xWindow="60" yWindow="90" windowWidth="14505" windowHeight="12090" tabRatio="610" activeTab="2"/>
  </bookViews>
  <sheets>
    <sheet name="Sammanfattning bil 1" sheetId="1" r:id="rId1"/>
    <sheet name="Intäkter bil 2" sheetId="2" r:id="rId2"/>
    <sheet name="Kostnader bil 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Jämförelse_intäkter_till_och_med_januari__1994_1993" localSheetId="1">'Intäkter bil 2'!#REF!</definedName>
    <definedName name="Jämförelse_intäkter_till_och_med_januari__1994_1993">#REF!</definedName>
    <definedName name="Res.rapport" localSheetId="1">'Intäkter bil 2'!$A$1:$J$77</definedName>
    <definedName name="Res.rapport">#REF!</definedName>
    <definedName name="Senaste_månaden" localSheetId="1">'Intäkter bil 2'!#REF!</definedName>
    <definedName name="Senaste_månaden">#REF!</definedName>
    <definedName name="_xlnm.Print_Area" localSheetId="1">'Intäkter bil 2'!$A$1:$M$131</definedName>
    <definedName name="_xlnm.Print_Area" localSheetId="2">'Kostnader bil 3'!$A$1:$H$93</definedName>
    <definedName name="_xlnm.Print_Area" localSheetId="0">'Sammanfattning bil 1'!$A$1:$K$45</definedName>
    <definedName name="Z_1EDB9987_0F37_49A1_B796_5C7B79F3B490_.wvu.Cols" localSheetId="1" hidden="1">'Intäkter bil 2'!$K:$K,'Intäkter bil 2'!$M:$M</definedName>
    <definedName name="Z_1EDB9987_0F37_49A1_B796_5C7B79F3B490_.wvu.Cols" localSheetId="2" hidden="1">'Kostnader bil 3'!$B:$D</definedName>
    <definedName name="Z_1EDB9987_0F37_49A1_B796_5C7B79F3B490_.wvu.PrintArea" localSheetId="1" hidden="1">'Intäkter bil 2'!$A$1:$L$125</definedName>
    <definedName name="Z_1EDB9987_0F37_49A1_B796_5C7B79F3B490_.wvu.PrintArea" localSheetId="2" hidden="1">'Kostnader bil 3'!$A$1:$I$93</definedName>
    <definedName name="Z_1EDB9987_0F37_49A1_B796_5C7B79F3B490_.wvu.PrintArea" localSheetId="0" hidden="1">'Sammanfattning bil 1'!$A$1:$K$45</definedName>
    <definedName name="Z_1EDB9987_0F37_49A1_B796_5C7B79F3B490_.wvu.PrintTitles" localSheetId="2" hidden="1">'Kostnader bil 3'!$4:$5</definedName>
    <definedName name="Z_1EDB9987_0F37_49A1_B796_5C7B79F3B490_.wvu.Rows" localSheetId="1" hidden="1">'Intäkter bil 2'!$58:$61,'Intäkter bil 2'!$63:$72,'Intäkter bil 2'!$74:$84,'Intäkter bil 2'!$86:$96,'Intäkter bil 2'!$98:$108,'Intäkter bil 2'!$110:$113,'Intäkter bil 2'!$115:$120,'Intäkter bil 2'!$122:$125</definedName>
    <definedName name="Z_1EDB9987_0F37_49A1_B796_5C7B79F3B490_.wvu.Rows" localSheetId="0" hidden="1">'Sammanfattning bil 1'!$47:$95</definedName>
    <definedName name="Z_9C92D4E2_4DB1_4DE8_9035_495C8A323D7B_.wvu.Cols" localSheetId="1" hidden="1">'Intäkter bil 2'!$J:$K,'Intäkter bil 2'!$M:$M</definedName>
    <definedName name="Z_9C92D4E2_4DB1_4DE8_9035_495C8A323D7B_.wvu.Rows" localSheetId="1" hidden="1">'Intäkter bil 2'!$58:$61,'Intäkter bil 2'!$63:$72,'Intäkter bil 2'!$74:$84,'Intäkter bil 2'!$86:$96,'Intäkter bil 2'!$98:$108,'Intäkter bil 2'!$110:$115,'Intäkter bil 2'!$117:$120,'Intäkter bil 2'!$122:$127</definedName>
    <definedName name="Z_DE0C6F0D_7C2F_4B97_AA16_0EC5D85A2B96_.wvu.Cols" localSheetId="1" hidden="1">'Intäkter bil 2'!$J:$K,'Intäkter bil 2'!$M:$M</definedName>
    <definedName name="Z_DE0C6F0D_7C2F_4B97_AA16_0EC5D85A2B96_.wvu.Rows" localSheetId="1" hidden="1">'Intäkter bil 2'!$58:$61,'Intäkter bil 2'!$63:$72,'Intäkter bil 2'!$74:$84,'Intäkter bil 2'!$86:$96,'Intäkter bil 2'!$98:$108,'Intäkter bil 2'!$110:$115,'Intäkter bil 2'!$117:$120,'Intäkter bil 2'!$122:$127</definedName>
  </definedNames>
  <calcPr calcId="125725"/>
  <customWorkbookViews>
    <customWorkbookView name="dunder - Personlig vy" guid="{763437CC-26D4-4164-810A-C9635FD11083}" mergeInterval="0" personalView="1" maximized="1" xWindow="1" yWindow="1" windowWidth="1676" windowHeight="778" tabRatio="610" activeSheetId="1"/>
    <customWorkbookView name="Datoransvarig - Personlig vy" guid="{9C92D4E2-4DB1-4DE8-9035-495C8A323D7B}" mergeInterval="0" personalView="1" maximized="1" windowWidth="1676" windowHeight="851" tabRatio="610" activeSheetId="2"/>
    <customWorkbookView name="Elisabet Dunder - Personlig vy" guid="{1EDB9987-0F37-49A1-B796-5C7B79F3B490}" mergeInterval="0" personalView="1" xWindow="-5" yWindow="37" windowWidth="822" windowHeight="815" tabRatio="610" activeSheetId="1"/>
    <customWorkbookView name="annica - Personlig vy" guid="{DE0C6F0D-7C2F-4B97-AA16-0EC5D85A2B96}" mergeInterval="0" personalView="1" xWindow="93" yWindow="25" windowWidth="666" windowHeight="786" tabRatio="610" activeSheetId="3"/>
  </customWorkbookViews>
</workbook>
</file>

<file path=xl/calcChain.xml><?xml version="1.0" encoding="utf-8"?>
<calcChain xmlns="http://schemas.openxmlformats.org/spreadsheetml/2006/main">
  <c r="G88" i="3"/>
  <c r="G67"/>
  <c r="B62"/>
  <c r="B79"/>
  <c r="B78"/>
  <c r="B77"/>
  <c r="B72"/>
  <c r="B71"/>
  <c r="B70"/>
  <c r="B69"/>
  <c r="B68"/>
  <c r="B67"/>
  <c r="B61"/>
  <c r="B60"/>
  <c r="B59"/>
  <c r="B58"/>
  <c r="B57"/>
  <c r="B56"/>
  <c r="B55"/>
  <c r="B51"/>
  <c r="B50"/>
  <c r="B49"/>
  <c r="B48"/>
  <c r="B46"/>
  <c r="B45"/>
  <c r="B44"/>
  <c r="B40"/>
  <c r="B39"/>
  <c r="B38"/>
  <c r="B37"/>
  <c r="B36"/>
  <c r="B35"/>
  <c r="B34"/>
  <c r="B33"/>
  <c r="B32"/>
  <c r="B31"/>
  <c r="B27"/>
  <c r="B26"/>
  <c r="B25"/>
  <c r="B24"/>
  <c r="B23"/>
  <c r="B22"/>
  <c r="B21"/>
  <c r="B20"/>
  <c r="B19"/>
  <c r="B18"/>
  <c r="B14"/>
  <c r="B13"/>
  <c r="B12"/>
  <c r="B11"/>
  <c r="B10"/>
  <c r="B9"/>
  <c r="D45" i="1"/>
  <c r="G47" i="2" l="1"/>
  <c r="G42"/>
  <c r="G38"/>
  <c r="G37"/>
  <c r="G36"/>
  <c r="G35"/>
  <c r="G34"/>
  <c r="G33"/>
  <c r="G32"/>
  <c r="G31"/>
  <c r="G27"/>
  <c r="G26"/>
  <c r="G25"/>
  <c r="G24"/>
  <c r="G23"/>
  <c r="G22"/>
  <c r="G21"/>
  <c r="G20"/>
  <c r="G19"/>
  <c r="G18"/>
  <c r="G17"/>
  <c r="G16"/>
  <c r="G15"/>
  <c r="G11"/>
  <c r="G10"/>
  <c r="G9"/>
  <c r="B47"/>
  <c r="B46"/>
  <c r="B42"/>
  <c r="B38"/>
  <c r="B37"/>
  <c r="B36"/>
  <c r="B35"/>
  <c r="B34"/>
  <c r="B33"/>
  <c r="B32"/>
  <c r="B31"/>
  <c r="B27"/>
  <c r="B26"/>
  <c r="B25"/>
  <c r="B24"/>
  <c r="B23"/>
  <c r="B22"/>
  <c r="B21"/>
  <c r="B20"/>
  <c r="B19"/>
  <c r="B18"/>
  <c r="B17"/>
  <c r="B16"/>
  <c r="B15"/>
  <c r="B11"/>
  <c r="B10"/>
  <c r="B9"/>
  <c r="K21" l="1"/>
  <c r="K20"/>
  <c r="K26"/>
  <c r="K22"/>
  <c r="K47"/>
  <c r="K38"/>
  <c r="K37"/>
  <c r="K34"/>
  <c r="K32"/>
  <c r="K27"/>
  <c r="K25"/>
  <c r="K23"/>
  <c r="K19"/>
  <c r="K16"/>
  <c r="K11"/>
  <c r="L47"/>
  <c r="H9" i="3"/>
  <c r="C9"/>
  <c r="E9"/>
  <c r="F9"/>
  <c r="G9" s="1"/>
  <c r="E10"/>
  <c r="F10"/>
  <c r="G10" s="1"/>
  <c r="H10"/>
  <c r="E11"/>
  <c r="F11"/>
  <c r="G11" s="1"/>
  <c r="H11"/>
  <c r="H12"/>
  <c r="E12"/>
  <c r="F12"/>
  <c r="G12"/>
  <c r="E13"/>
  <c r="F13"/>
  <c r="G13" s="1"/>
  <c r="H13"/>
  <c r="C14"/>
  <c r="E14"/>
  <c r="F14"/>
  <c r="G14" s="1"/>
  <c r="H14"/>
  <c r="B15"/>
  <c r="C15"/>
  <c r="D15"/>
  <c r="F15"/>
  <c r="E18"/>
  <c r="F18"/>
  <c r="G18" s="1"/>
  <c r="H18"/>
  <c r="H19"/>
  <c r="E19"/>
  <c r="F19"/>
  <c r="G19" s="1"/>
  <c r="E20"/>
  <c r="F20"/>
  <c r="G20" s="1"/>
  <c r="H20"/>
  <c r="C21"/>
  <c r="E21"/>
  <c r="F21"/>
  <c r="G21" s="1"/>
  <c r="H21"/>
  <c r="H22"/>
  <c r="C22"/>
  <c r="E22"/>
  <c r="F22"/>
  <c r="G22"/>
  <c r="C23"/>
  <c r="E23"/>
  <c r="F23"/>
  <c r="G23" s="1"/>
  <c r="H23"/>
  <c r="H24"/>
  <c r="E24"/>
  <c r="F24"/>
  <c r="G24"/>
  <c r="E25"/>
  <c r="F25"/>
  <c r="G25" s="1"/>
  <c r="E26"/>
  <c r="F26"/>
  <c r="G26" s="1"/>
  <c r="H26"/>
  <c r="C27"/>
  <c r="D27" s="1"/>
  <c r="G27" s="1"/>
  <c r="E27"/>
  <c r="F27"/>
  <c r="H27"/>
  <c r="E31"/>
  <c r="F31"/>
  <c r="F41" s="1"/>
  <c r="G41" s="1"/>
  <c r="H31"/>
  <c r="H32"/>
  <c r="C32"/>
  <c r="E32"/>
  <c r="F32"/>
  <c r="G32" s="1"/>
  <c r="E33"/>
  <c r="F33"/>
  <c r="G33" s="1"/>
  <c r="H33"/>
  <c r="H34"/>
  <c r="C34"/>
  <c r="E34"/>
  <c r="F34"/>
  <c r="G34" s="1"/>
  <c r="C35"/>
  <c r="E35"/>
  <c r="F35"/>
  <c r="G35" s="1"/>
  <c r="H35"/>
  <c r="H36"/>
  <c r="C36"/>
  <c r="E36"/>
  <c r="F36"/>
  <c r="G36" s="1"/>
  <c r="C37"/>
  <c r="E37"/>
  <c r="F37"/>
  <c r="G37" s="1"/>
  <c r="H37"/>
  <c r="H38"/>
  <c r="C38"/>
  <c r="E38"/>
  <c r="F38"/>
  <c r="G38"/>
  <c r="E39"/>
  <c r="F39"/>
  <c r="G39" s="1"/>
  <c r="H39"/>
  <c r="E40"/>
  <c r="F40"/>
  <c r="G40" s="1"/>
  <c r="H40"/>
  <c r="B41"/>
  <c r="C41"/>
  <c r="D41"/>
  <c r="E44"/>
  <c r="F44"/>
  <c r="G44" s="1"/>
  <c r="H44"/>
  <c r="H45"/>
  <c r="E45"/>
  <c r="F45"/>
  <c r="G45" s="1"/>
  <c r="H46"/>
  <c r="E46"/>
  <c r="F46"/>
  <c r="G46" s="1"/>
  <c r="G47"/>
  <c r="H47"/>
  <c r="E48"/>
  <c r="F48"/>
  <c r="G48" s="1"/>
  <c r="H48"/>
  <c r="H49"/>
  <c r="E49"/>
  <c r="F49"/>
  <c r="G49" s="1"/>
  <c r="E50"/>
  <c r="F50"/>
  <c r="G50" s="1"/>
  <c r="H50"/>
  <c r="E51"/>
  <c r="F51"/>
  <c r="G51" s="1"/>
  <c r="H51"/>
  <c r="B52"/>
  <c r="C52"/>
  <c r="D52"/>
  <c r="E55"/>
  <c r="F55"/>
  <c r="G55" s="1"/>
  <c r="H55"/>
  <c r="H56"/>
  <c r="E56"/>
  <c r="F56"/>
  <c r="G56"/>
  <c r="H57"/>
  <c r="C57"/>
  <c r="E57"/>
  <c r="F57"/>
  <c r="G57" s="1"/>
  <c r="E58"/>
  <c r="F58"/>
  <c r="G58" s="1"/>
  <c r="H58"/>
  <c r="H59"/>
  <c r="E59"/>
  <c r="F59"/>
  <c r="G59" s="1"/>
  <c r="E60"/>
  <c r="F60"/>
  <c r="G60" s="1"/>
  <c r="H60"/>
  <c r="C61"/>
  <c r="E61"/>
  <c r="F61"/>
  <c r="G61" s="1"/>
  <c r="E62"/>
  <c r="F62"/>
  <c r="G62" s="1"/>
  <c r="H62"/>
  <c r="B63"/>
  <c r="C63"/>
  <c r="D63"/>
  <c r="C67"/>
  <c r="E67"/>
  <c r="F67"/>
  <c r="H67"/>
  <c r="H68"/>
  <c r="C68"/>
  <c r="C87" s="1"/>
  <c r="E68"/>
  <c r="F68"/>
  <c r="G68" s="1"/>
  <c r="C69"/>
  <c r="E69"/>
  <c r="F69"/>
  <c r="G69" s="1"/>
  <c r="H69"/>
  <c r="H70"/>
  <c r="E70"/>
  <c r="F70"/>
  <c r="G70" s="1"/>
  <c r="H71"/>
  <c r="E71"/>
  <c r="F71"/>
  <c r="G71" s="1"/>
  <c r="C72"/>
  <c r="C88" s="1"/>
  <c r="E72"/>
  <c r="F72"/>
  <c r="G72" s="1"/>
  <c r="H72"/>
  <c r="B73"/>
  <c r="B87" s="1"/>
  <c r="C19" i="1" s="1"/>
  <c r="C73" i="3"/>
  <c r="D73"/>
  <c r="C77"/>
  <c r="E77"/>
  <c r="F77"/>
  <c r="G77" s="1"/>
  <c r="H77"/>
  <c r="H78"/>
  <c r="E78"/>
  <c r="F78"/>
  <c r="G78" s="1"/>
  <c r="H79"/>
  <c r="E79"/>
  <c r="F79"/>
  <c r="G79" s="1"/>
  <c r="C80"/>
  <c r="C81" s="1"/>
  <c r="D80"/>
  <c r="D81" s="1"/>
  <c r="D87"/>
  <c r="B88"/>
  <c r="C20" i="1" s="1"/>
  <c r="G20" s="1"/>
  <c r="D88" i="3"/>
  <c r="E88"/>
  <c r="E20" i="1" s="1"/>
  <c r="F88" i="3"/>
  <c r="F20" i="1" s="1"/>
  <c r="D9" i="2"/>
  <c r="E9"/>
  <c r="F9" s="1"/>
  <c r="H9"/>
  <c r="K9" s="1"/>
  <c r="D10"/>
  <c r="E10"/>
  <c r="H10"/>
  <c r="D11"/>
  <c r="E11"/>
  <c r="F11" s="1"/>
  <c r="H11"/>
  <c r="C12"/>
  <c r="I12"/>
  <c r="D15"/>
  <c r="E15"/>
  <c r="F15" s="1"/>
  <c r="H15"/>
  <c r="D16"/>
  <c r="E16"/>
  <c r="F16" s="1"/>
  <c r="H16"/>
  <c r="D17"/>
  <c r="E17"/>
  <c r="F17" s="1"/>
  <c r="H17"/>
  <c r="D18"/>
  <c r="E18"/>
  <c r="F18" s="1"/>
  <c r="H18"/>
  <c r="D19"/>
  <c r="E19"/>
  <c r="F19" s="1"/>
  <c r="H19"/>
  <c r="D20"/>
  <c r="E20"/>
  <c r="F20" s="1"/>
  <c r="H20"/>
  <c r="D21"/>
  <c r="E21"/>
  <c r="F21" s="1"/>
  <c r="H21"/>
  <c r="D22"/>
  <c r="E22"/>
  <c r="F22"/>
  <c r="H22"/>
  <c r="D23"/>
  <c r="E23"/>
  <c r="F23" s="1"/>
  <c r="H23"/>
  <c r="D24"/>
  <c r="E24"/>
  <c r="F24" s="1"/>
  <c r="H24"/>
  <c r="D25"/>
  <c r="E25"/>
  <c r="H25"/>
  <c r="D26"/>
  <c r="E26"/>
  <c r="F26" s="1"/>
  <c r="H26"/>
  <c r="D27"/>
  <c r="E27"/>
  <c r="F27" s="1"/>
  <c r="H27"/>
  <c r="C28"/>
  <c r="I28"/>
  <c r="D31"/>
  <c r="E31"/>
  <c r="F31" s="1"/>
  <c r="H31"/>
  <c r="D32"/>
  <c r="H32"/>
  <c r="D33"/>
  <c r="E33"/>
  <c r="F33" s="1"/>
  <c r="H33"/>
  <c r="D34"/>
  <c r="E34"/>
  <c r="F34" s="1"/>
  <c r="H34"/>
  <c r="D35"/>
  <c r="E35"/>
  <c r="H35"/>
  <c r="D36"/>
  <c r="E36"/>
  <c r="F36" s="1"/>
  <c r="H36"/>
  <c r="D37"/>
  <c r="E37"/>
  <c r="F37" s="1"/>
  <c r="H37"/>
  <c r="D38"/>
  <c r="E38"/>
  <c r="F38" s="1"/>
  <c r="H38"/>
  <c r="C39"/>
  <c r="I39"/>
  <c r="D42"/>
  <c r="D43" s="1"/>
  <c r="E12" i="1" s="1"/>
  <c r="E42" i="2"/>
  <c r="H42"/>
  <c r="H43" s="1"/>
  <c r="C43"/>
  <c r="I43"/>
  <c r="D46"/>
  <c r="E46"/>
  <c r="F46" s="1"/>
  <c r="H46"/>
  <c r="K46" s="1"/>
  <c r="D47"/>
  <c r="E47"/>
  <c r="H47"/>
  <c r="C48"/>
  <c r="D48"/>
  <c r="E13" i="1" s="1"/>
  <c r="I48" i="2"/>
  <c r="D15" i="1"/>
  <c r="I15"/>
  <c r="J15"/>
  <c r="D21"/>
  <c r="H21"/>
  <c r="H24" s="1"/>
  <c r="I21"/>
  <c r="I24" s="1"/>
  <c r="I26" s="1"/>
  <c r="J21"/>
  <c r="J24"/>
  <c r="J26"/>
  <c r="E36"/>
  <c r="E37"/>
  <c r="E38"/>
  <c r="E39"/>
  <c r="E40"/>
  <c r="E41"/>
  <c r="E42"/>
  <c r="E43"/>
  <c r="E44"/>
  <c r="E45"/>
  <c r="D28" i="2" l="1"/>
  <c r="E10" i="1" s="1"/>
  <c r="E28" i="3"/>
  <c r="E80"/>
  <c r="E81" s="1"/>
  <c r="C28"/>
  <c r="E39" i="2"/>
  <c r="F39" s="1"/>
  <c r="F63" i="3"/>
  <c r="G63" s="1"/>
  <c r="F52"/>
  <c r="G52" s="1"/>
  <c r="G31"/>
  <c r="F73"/>
  <c r="G73" s="1"/>
  <c r="E63"/>
  <c r="F28"/>
  <c r="F64" s="1"/>
  <c r="E15"/>
  <c r="E48" i="2"/>
  <c r="F48" s="1"/>
  <c r="E73" i="3"/>
  <c r="E87" s="1"/>
  <c r="E19" i="1" s="1"/>
  <c r="E52" i="3"/>
  <c r="E41"/>
  <c r="J27" i="2"/>
  <c r="L16"/>
  <c r="J23"/>
  <c r="J21"/>
  <c r="B48"/>
  <c r="C13" i="1" s="1"/>
  <c r="K13" s="1"/>
  <c r="H88" i="3"/>
  <c r="H87"/>
  <c r="K20" i="1"/>
  <c r="H73" i="3"/>
  <c r="H63"/>
  <c r="H52"/>
  <c r="H41"/>
  <c r="H15"/>
  <c r="D12" i="2"/>
  <c r="D50" s="1"/>
  <c r="F47"/>
  <c r="F35"/>
  <c r="E12"/>
  <c r="L46"/>
  <c r="E43"/>
  <c r="D39"/>
  <c r="E11" i="1" s="1"/>
  <c r="B12" i="2"/>
  <c r="C9" i="1" s="1"/>
  <c r="K9" s="1"/>
  <c r="L37" i="2"/>
  <c r="L21"/>
  <c r="J37"/>
  <c r="L20"/>
  <c r="B43"/>
  <c r="C12" i="1" s="1"/>
  <c r="G12" s="1"/>
  <c r="L23" i="2"/>
  <c r="L38"/>
  <c r="L25"/>
  <c r="J22"/>
  <c r="H48"/>
  <c r="J9"/>
  <c r="L32"/>
  <c r="J47"/>
  <c r="K36"/>
  <c r="J42"/>
  <c r="J25"/>
  <c r="J11"/>
  <c r="J10"/>
  <c r="K17"/>
  <c r="J38"/>
  <c r="J20"/>
  <c r="L26"/>
  <c r="J19"/>
  <c r="H28"/>
  <c r="L11"/>
  <c r="H12"/>
  <c r="H39"/>
  <c r="J32"/>
  <c r="L19"/>
  <c r="C64" i="3"/>
  <c r="G19" i="1"/>
  <c r="K19"/>
  <c r="E90" i="3"/>
  <c r="E22" i="1" s="1"/>
  <c r="F12" i="2"/>
  <c r="F9" i="1"/>
  <c r="C90" i="3"/>
  <c r="H80"/>
  <c r="L34" i="2"/>
  <c r="I50"/>
  <c r="L22"/>
  <c r="F10"/>
  <c r="B28" i="3"/>
  <c r="G15"/>
  <c r="F11" i="1"/>
  <c r="G48" i="2"/>
  <c r="J46"/>
  <c r="C50"/>
  <c r="J34"/>
  <c r="J26"/>
  <c r="F87" i="3"/>
  <c r="F80"/>
  <c r="B80"/>
  <c r="B81" s="1"/>
  <c r="B90" s="1"/>
  <c r="C22" i="1" s="1"/>
  <c r="E28" i="2"/>
  <c r="E50" s="1"/>
  <c r="L27"/>
  <c r="J16"/>
  <c r="L9"/>
  <c r="D90" i="3"/>
  <c r="F13" i="1"/>
  <c r="F12"/>
  <c r="D28" i="3"/>
  <c r="D64" s="1"/>
  <c r="D24" i="1"/>
  <c r="D26" s="1"/>
  <c r="J48" i="2" l="1"/>
  <c r="E64" i="3"/>
  <c r="E86" s="1"/>
  <c r="E18" i="1" s="1"/>
  <c r="F86" i="3"/>
  <c r="F18" i="1" s="1"/>
  <c r="F74" i="3"/>
  <c r="H28"/>
  <c r="E9" i="1"/>
  <c r="E15" s="1"/>
  <c r="G9"/>
  <c r="G13"/>
  <c r="L24" i="2"/>
  <c r="K24"/>
  <c r="L33"/>
  <c r="K33"/>
  <c r="L15"/>
  <c r="K15"/>
  <c r="L31"/>
  <c r="K31"/>
  <c r="J35"/>
  <c r="K35"/>
  <c r="L35"/>
  <c r="L10"/>
  <c r="K10"/>
  <c r="J18"/>
  <c r="K18"/>
  <c r="H81" i="3"/>
  <c r="H90"/>
  <c r="F50" i="2"/>
  <c r="K42"/>
  <c r="J24"/>
  <c r="B39"/>
  <c r="C11" i="1" s="1"/>
  <c r="L18" i="2"/>
  <c r="J15"/>
  <c r="B28"/>
  <c r="G28"/>
  <c r="J31"/>
  <c r="J33"/>
  <c r="G12"/>
  <c r="K12" s="1"/>
  <c r="J17"/>
  <c r="L17"/>
  <c r="L42"/>
  <c r="L36"/>
  <c r="J36"/>
  <c r="G43"/>
  <c r="K43" s="1"/>
  <c r="G39"/>
  <c r="K39" s="1"/>
  <c r="H50"/>
  <c r="D86" i="3"/>
  <c r="D74"/>
  <c r="F28" i="2"/>
  <c r="F10" i="1"/>
  <c r="F15" s="1"/>
  <c r="G87" i="3"/>
  <c r="F19" i="1"/>
  <c r="L48" i="2"/>
  <c r="K48"/>
  <c r="G80" i="3"/>
  <c r="F90"/>
  <c r="F81"/>
  <c r="G81" s="1"/>
  <c r="C86"/>
  <c r="C74"/>
  <c r="G22" i="1"/>
  <c r="K22"/>
  <c r="E74" i="3"/>
  <c r="F83"/>
  <c r="F89"/>
  <c r="B64"/>
  <c r="H64" s="1"/>
  <c r="H74" s="1"/>
  <c r="G64"/>
  <c r="G28"/>
  <c r="G86" l="1"/>
  <c r="J43" i="2"/>
  <c r="L28"/>
  <c r="G11" i="1"/>
  <c r="K11"/>
  <c r="J28" i="2"/>
  <c r="K28"/>
  <c r="G50"/>
  <c r="J50" s="1"/>
  <c r="C10" i="1"/>
  <c r="B50" i="2"/>
  <c r="J39"/>
  <c r="J12"/>
  <c r="L12"/>
  <c r="H12" i="1"/>
  <c r="H15" s="1"/>
  <c r="H26" s="1"/>
  <c r="L39" i="2"/>
  <c r="L43"/>
  <c r="K50"/>
  <c r="F22" i="1"/>
  <c r="G90" i="3"/>
  <c r="F91"/>
  <c r="E83"/>
  <c r="E89"/>
  <c r="C83"/>
  <c r="C89"/>
  <c r="D83"/>
  <c r="D89"/>
  <c r="D91" s="1"/>
  <c r="B74"/>
  <c r="B86"/>
  <c r="C18" i="1" s="1"/>
  <c r="G83" i="3"/>
  <c r="F21" i="1"/>
  <c r="G74" i="3"/>
  <c r="H86" l="1"/>
  <c r="C15" i="1"/>
  <c r="G15" s="1"/>
  <c r="K10"/>
  <c r="G10"/>
  <c r="L50" i="2"/>
  <c r="E21" i="1"/>
  <c r="E24" s="1"/>
  <c r="E26" s="1"/>
  <c r="E91" i="3"/>
  <c r="B83"/>
  <c r="H83" s="1"/>
  <c r="B89"/>
  <c r="H89" s="1"/>
  <c r="H91" s="1"/>
  <c r="G91"/>
  <c r="G18" i="1"/>
  <c r="K18"/>
  <c r="C91" i="3"/>
  <c r="F24" i="1"/>
  <c r="F26" s="1"/>
  <c r="G89" i="3"/>
  <c r="K15" i="1" l="1"/>
  <c r="C21"/>
  <c r="B91" i="3"/>
  <c r="C24" i="1" l="1"/>
  <c r="K21"/>
  <c r="G21"/>
  <c r="K24" l="1"/>
  <c r="G24"/>
  <c r="C26"/>
  <c r="K26" l="1"/>
  <c r="G26"/>
</calcChain>
</file>

<file path=xl/comments1.xml><?xml version="1.0" encoding="utf-8"?>
<comments xmlns="http://schemas.openxmlformats.org/spreadsheetml/2006/main">
  <authors>
    <author>Datoransvarig Amnesty</author>
  </authors>
  <commentList>
    <comment ref="H6" authorId="0">
      <text>
        <r>
          <rPr>
            <b/>
            <sz val="9"/>
            <color indexed="81"/>
            <rFont val="Tahoma"/>
            <family val="2"/>
          </rPr>
          <t>Datoransvarig Amnesty:</t>
        </r>
        <r>
          <rPr>
            <sz val="9"/>
            <color indexed="81"/>
            <rFont val="Tahoma"/>
            <family val="2"/>
          </rPr>
          <t xml:space="preserve">
Ej helår
</t>
        </r>
      </text>
    </comment>
  </commentList>
</comments>
</file>

<file path=xl/comments2.xml><?xml version="1.0" encoding="utf-8"?>
<comments xmlns="http://schemas.openxmlformats.org/spreadsheetml/2006/main">
  <authors>
    <author>Datoransvarig</author>
  </authors>
  <commentList>
    <comment ref="G46" authorId="0">
      <text>
        <r>
          <rPr>
            <sz val="9"/>
            <color indexed="81"/>
            <rFont val="Tahoma"/>
            <family val="2"/>
          </rPr>
          <t>Läggs in manuellt</t>
        </r>
      </text>
    </comment>
  </commentList>
</comments>
</file>

<file path=xl/sharedStrings.xml><?xml version="1.0" encoding="utf-8"?>
<sst xmlns="http://schemas.openxmlformats.org/spreadsheetml/2006/main" count="208" uniqueCount="163">
  <si>
    <t>Bilaga 1</t>
  </si>
  <si>
    <t>Medlemsavgifter</t>
  </si>
  <si>
    <t>Försäljning</t>
  </si>
  <si>
    <t>SUMMA INTÄKTER</t>
  </si>
  <si>
    <t xml:space="preserve">KOSTNADER </t>
  </si>
  <si>
    <t>Programverksamhet</t>
  </si>
  <si>
    <t>Personalkostnader</t>
  </si>
  <si>
    <t>Sektionskostnader</t>
  </si>
  <si>
    <t>SUMMA KOSTNADER</t>
  </si>
  <si>
    <t>RESULTAT</t>
  </si>
  <si>
    <t>Intäkter</t>
  </si>
  <si>
    <t>Kostnader</t>
  </si>
  <si>
    <t>Resultat</t>
  </si>
  <si>
    <t>Bilaga 2</t>
  </si>
  <si>
    <t>INTÄKTER</t>
  </si>
  <si>
    <t>Helbetalande medl.</t>
  </si>
  <si>
    <t>Delbetalande medl.</t>
  </si>
  <si>
    <t>Summa</t>
  </si>
  <si>
    <t xml:space="preserve">Försäljning </t>
  </si>
  <si>
    <t>Amnesty Press</t>
  </si>
  <si>
    <t>Kortkampanjen</t>
  </si>
  <si>
    <t>Företagssamarbete</t>
  </si>
  <si>
    <t>Humanfonden (se nedan)</t>
  </si>
  <si>
    <t>Hjälpfonden (se nedan)</t>
  </si>
  <si>
    <t>Övrigt</t>
  </si>
  <si>
    <t>Räntor</t>
  </si>
  <si>
    <t>Bilaga 3</t>
  </si>
  <si>
    <t>DIREKTA PROGRAMKOSTNADER</t>
  </si>
  <si>
    <t xml:space="preserve">Ack </t>
  </si>
  <si>
    <t xml:space="preserve">Budget </t>
  </si>
  <si>
    <t>Prognos</t>
  </si>
  <si>
    <t>Utfall i %</t>
  </si>
  <si>
    <t>4. Medlemmar och organisation</t>
  </si>
  <si>
    <t>SUMMA PROGRAMKOSTNADER</t>
  </si>
  <si>
    <t>Sekretariatet</t>
  </si>
  <si>
    <t>Tryckeri</t>
  </si>
  <si>
    <t>Avskrivningar</t>
  </si>
  <si>
    <t>SUMMA SEKTIONSKOSTNADER</t>
  </si>
  <si>
    <t>TOTALT</t>
  </si>
  <si>
    <t>SAMMANFATTNING</t>
  </si>
  <si>
    <t>Programkostnader</t>
  </si>
  <si>
    <t>Sekretariatskostnader</t>
  </si>
  <si>
    <t xml:space="preserve">INTÄKTER </t>
  </si>
  <si>
    <t>Bu-ack</t>
  </si>
  <si>
    <t>Testamenten</t>
  </si>
  <si>
    <t>Medl via autogiro</t>
  </si>
  <si>
    <t xml:space="preserve">Årsmötet </t>
  </si>
  <si>
    <t xml:space="preserve">Styrelsen </t>
  </si>
  <si>
    <t xml:space="preserve">Valberedningen </t>
  </si>
  <si>
    <t xml:space="preserve">Budgetmötet </t>
  </si>
  <si>
    <t xml:space="preserve">Resor o diverse </t>
  </si>
  <si>
    <t>Ungdomsarbete</t>
  </si>
  <si>
    <t>Rapporter o dyl</t>
  </si>
  <si>
    <t>Övrig försäljning</t>
  </si>
  <si>
    <t>Summa avgifter</t>
  </si>
  <si>
    <t>Summa försäljning</t>
  </si>
  <si>
    <t>Grupper &amp; distrikt</t>
  </si>
  <si>
    <t>Gåvor från organisationer</t>
  </si>
  <si>
    <t>Gåvor via autogiro</t>
  </si>
  <si>
    <t>Amnestyfonden andel</t>
  </si>
  <si>
    <t>Summa övrigt</t>
  </si>
  <si>
    <t>Insamlingsbrev</t>
  </si>
  <si>
    <t>1. Kampanjer</t>
  </si>
  <si>
    <t>Kampanjer &amp; aktioner</t>
  </si>
  <si>
    <t>Blixtaktioner</t>
  </si>
  <si>
    <t>Tot. budg</t>
  </si>
  <si>
    <t>2. Information och kommunikation</t>
  </si>
  <si>
    <t>Mediaarbete</t>
  </si>
  <si>
    <t>MR-info</t>
  </si>
  <si>
    <t>3. Stöd till aktivism</t>
  </si>
  <si>
    <t>Specialgrupper</t>
  </si>
  <si>
    <t>Intersektionella möten</t>
  </si>
  <si>
    <t>Granskningskommittéen</t>
  </si>
  <si>
    <t>6. Gemensamma kostnader</t>
  </si>
  <si>
    <t>Verksamhetsutveckling</t>
  </si>
  <si>
    <t>IT</t>
  </si>
  <si>
    <t>Personal</t>
  </si>
  <si>
    <t>7. Internationella rörelsen</t>
  </si>
  <si>
    <t>Internationella sekretariatet</t>
  </si>
  <si>
    <t>SUMMA BIDRAG TILL INT. RÖRELSEN</t>
  </si>
  <si>
    <t>Bidrag till Internationella rörelsen</t>
  </si>
  <si>
    <t>Total</t>
  </si>
  <si>
    <t>budget</t>
  </si>
  <si>
    <t xml:space="preserve">Amnestyfondens andel </t>
  </si>
  <si>
    <t>Övriga insamlingsaktiv.</t>
  </si>
  <si>
    <t>ingen uppgift</t>
  </si>
  <si>
    <t xml:space="preserve">*Inklusive samtliga disponibla delar </t>
  </si>
  <si>
    <t>Ospec gåvor (privat)</t>
  </si>
  <si>
    <t>Amnestyakademin</t>
  </si>
  <si>
    <t>Distriktscenter Skåne/Blekinge</t>
  </si>
  <si>
    <t>Distriktscenter Göteborg</t>
  </si>
  <si>
    <t>Landprogram</t>
  </si>
  <si>
    <t>Övrig utbildning</t>
  </si>
  <si>
    <t>F2F</t>
  </si>
  <si>
    <t>TM</t>
  </si>
  <si>
    <t>Internationella rörelsen</t>
  </si>
  <si>
    <t>5. Insamlingsarbete</t>
  </si>
  <si>
    <t>Distrikt Stockholm</t>
  </si>
  <si>
    <t>Internationella samarbeten</t>
  </si>
  <si>
    <t>* Total budget= fast budget inkl alla disponibla delar</t>
  </si>
  <si>
    <t>Postkodlotteriet</t>
  </si>
  <si>
    <t>Insamlade medel</t>
  </si>
  <si>
    <t>Bidrag</t>
  </si>
  <si>
    <t>Budget 2009*</t>
  </si>
  <si>
    <t>Intäkter gällande 2009</t>
  </si>
  <si>
    <t>Gåvor från företag</t>
  </si>
  <si>
    <t>Summa insamlade medel</t>
  </si>
  <si>
    <t>Arvoden</t>
  </si>
  <si>
    <t>Annonser &amp; bilagor AP</t>
  </si>
  <si>
    <t>Pren Amnesty Press</t>
  </si>
  <si>
    <t>Pren Kortkampanjen</t>
  </si>
  <si>
    <t xml:space="preserve">Bidrag </t>
  </si>
  <si>
    <t>Summa bidrag</t>
  </si>
  <si>
    <t>Flykting &amp; migration</t>
  </si>
  <si>
    <t>Lobby</t>
  </si>
  <si>
    <t>Insats</t>
  </si>
  <si>
    <t>Utveckla aktivism</t>
  </si>
  <si>
    <t>ICM</t>
  </si>
  <si>
    <t>Fundraising - bas</t>
  </si>
  <si>
    <t>Material</t>
  </si>
  <si>
    <t>Marknadsföring och utveckling</t>
  </si>
  <si>
    <t>Fundraising - övergripande</t>
  </si>
  <si>
    <t>Ack</t>
  </si>
  <si>
    <t>utfall</t>
  </si>
  <si>
    <t>Jämförelse över åren av intäkter och kostnader aktuell månad.</t>
  </si>
  <si>
    <t>Uppdragsutbildning</t>
  </si>
  <si>
    <t>Helårsutfall</t>
  </si>
  <si>
    <t>av årsutfall</t>
  </si>
  <si>
    <t>Intäkter gällande 2010</t>
  </si>
  <si>
    <t xml:space="preserve">U10 i förh </t>
  </si>
  <si>
    <t>till U09</t>
  </si>
  <si>
    <t>Ack. utfall 2010</t>
  </si>
  <si>
    <t>Budget 2010*</t>
  </si>
  <si>
    <t>Ack utfall 2009</t>
  </si>
  <si>
    <t>Förändr. 2010 i förh till 2009</t>
  </si>
  <si>
    <t>2010*</t>
  </si>
  <si>
    <t>Utvecklingsprojekt</t>
  </si>
  <si>
    <t>Kommunikation</t>
  </si>
  <si>
    <t>Övrig extern utbildning</t>
  </si>
  <si>
    <t>Sommar- och valturné</t>
  </si>
  <si>
    <t>Ekonomiska aktörer</t>
  </si>
  <si>
    <t xml:space="preserve">Angeläget </t>
  </si>
  <si>
    <t>Helårsutfall 2009</t>
  </si>
  <si>
    <t>Utfall</t>
  </si>
  <si>
    <t>helår</t>
  </si>
  <si>
    <t>av helår</t>
  </si>
  <si>
    <t xml:space="preserve">Sneställt </t>
  </si>
  <si>
    <t>Humanfonden</t>
  </si>
  <si>
    <t>Utdelning</t>
  </si>
  <si>
    <t xml:space="preserve"> Sparare</t>
  </si>
  <si>
    <t>Angeläget - webbaserat läromedel, Arvsfonden</t>
  </si>
  <si>
    <t>Utbildningsprojekt i Turkiet</t>
  </si>
  <si>
    <t>tert 1</t>
  </si>
  <si>
    <t>Prognos tert 1</t>
  </si>
  <si>
    <t>tert 2</t>
  </si>
  <si>
    <t>Prognos tert 2</t>
  </si>
  <si>
    <t>Utfall i % av budget</t>
  </si>
  <si>
    <t>Prognos i %</t>
  </si>
  <si>
    <t>av budget</t>
  </si>
  <si>
    <t>Sammanfattning resultatrapport 2010, oktober (i tkr)</t>
  </si>
  <si>
    <t>Intäktsrapport 2010, oktober (i tkr)</t>
  </si>
  <si>
    <t>Uppföljning av programkostnader 2010, oktober (i tkr)</t>
  </si>
  <si>
    <t>n/a</t>
  </si>
</sst>
</file>

<file path=xl/styles.xml><?xml version="1.0" encoding="utf-8"?>
<styleSheet xmlns="http://schemas.openxmlformats.org/spreadsheetml/2006/main">
  <numFmts count="9">
    <numFmt numFmtId="164" formatCode="yy/m/d"/>
    <numFmt numFmtId="165" formatCode="d/mmm/yy"/>
    <numFmt numFmtId="166" formatCode="yy/m/d\ h\.mm"/>
    <numFmt numFmtId="167" formatCode="#,##0.0"/>
    <numFmt numFmtId="168" formatCode="0.0"/>
    <numFmt numFmtId="169" formatCode="0.0%"/>
    <numFmt numFmtId="170" formatCode="#,##0,"/>
    <numFmt numFmtId="171" formatCode="#,##0.000"/>
    <numFmt numFmtId="172" formatCode="#,##0.000,"/>
  </numFmts>
  <fonts count="27">
    <font>
      <sz val="10"/>
      <name val="Tms Rmn"/>
    </font>
    <font>
      <sz val="10"/>
      <name val="Geneva"/>
    </font>
    <font>
      <sz val="10"/>
      <name val="Times New Roman"/>
      <family val="1"/>
    </font>
    <font>
      <sz val="10"/>
      <name val="Tms Rmn"/>
    </font>
    <font>
      <sz val="10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5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sz val="8"/>
      <name val="Tms Rmn"/>
    </font>
    <font>
      <i/>
      <sz val="9"/>
      <color indexed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6"/>
      <name val="Arial"/>
      <family val="2"/>
    </font>
    <font>
      <sz val="9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AEAEA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</cellStyleXfs>
  <cellXfs count="385">
    <xf numFmtId="0" fontId="0" fillId="0" borderId="0" xfId="0"/>
    <xf numFmtId="0" fontId="4" fillId="0" borderId="0" xfId="5" applyFont="1"/>
    <xf numFmtId="3" fontId="4" fillId="0" borderId="0" xfId="5" applyNumberFormat="1" applyFont="1"/>
    <xf numFmtId="0" fontId="5" fillId="0" borderId="0" xfId="3" applyFont="1" applyAlignment="1">
      <alignment horizontal="centerContinuous"/>
    </xf>
    <xf numFmtId="0" fontId="4" fillId="0" borderId="0" xfId="0" applyFont="1"/>
    <xf numFmtId="0" fontId="6" fillId="0" borderId="0" xfId="5" applyFont="1"/>
    <xf numFmtId="0" fontId="7" fillId="0" borderId="0" xfId="5" applyFont="1" applyAlignment="1">
      <alignment horizontal="right"/>
    </xf>
    <xf numFmtId="3" fontId="4" fillId="0" borderId="0" xfId="4" applyNumberFormat="1" applyFont="1"/>
    <xf numFmtId="0" fontId="8" fillId="0" borderId="0" xfId="5" applyFont="1"/>
    <xf numFmtId="0" fontId="9" fillId="0" borderId="0" xfId="5" applyFont="1"/>
    <xf numFmtId="3" fontId="10" fillId="0" borderId="0" xfId="5" applyNumberFormat="1" applyFont="1"/>
    <xf numFmtId="171" fontId="9" fillId="0" borderId="0" xfId="5" applyNumberFormat="1" applyFont="1"/>
    <xf numFmtId="0" fontId="9" fillId="0" borderId="0" xfId="0" applyFont="1"/>
    <xf numFmtId="3" fontId="9" fillId="0" borderId="0" xfId="5" applyNumberFormat="1" applyFont="1"/>
    <xf numFmtId="3" fontId="4" fillId="0" borderId="0" xfId="0" applyNumberFormat="1" applyFont="1"/>
    <xf numFmtId="9" fontId="4" fillId="0" borderId="0" xfId="6" applyFont="1"/>
    <xf numFmtId="0" fontId="11" fillId="0" borderId="1" xfId="5" applyFont="1" applyBorder="1"/>
    <xf numFmtId="3" fontId="11" fillId="3" borderId="2" xfId="5" applyNumberFormat="1" applyFont="1" applyFill="1" applyBorder="1"/>
    <xf numFmtId="3" fontId="11" fillId="0" borderId="2" xfId="5" applyNumberFormat="1" applyFont="1" applyBorder="1"/>
    <xf numFmtId="169" fontId="11" fillId="1" borderId="2" xfId="5" applyNumberFormat="1" applyFont="1" applyFill="1" applyBorder="1" applyAlignment="1">
      <alignment horizontal="right"/>
    </xf>
    <xf numFmtId="166" fontId="4" fillId="0" borderId="0" xfId="0" applyNumberFormat="1" applyFont="1" applyAlignment="1">
      <alignment horizontal="left"/>
    </xf>
    <xf numFmtId="167" fontId="4" fillId="0" borderId="0" xfId="0" applyNumberFormat="1" applyFont="1" applyAlignment="1">
      <alignment horizontal="center"/>
    </xf>
    <xf numFmtId="0" fontId="4" fillId="0" borderId="0" xfId="0" applyFont="1" applyFill="1"/>
    <xf numFmtId="9" fontId="6" fillId="0" borderId="0" xfId="0" applyNumberFormat="1" applyFont="1" applyAlignment="1">
      <alignment horizontal="center"/>
    </xf>
    <xf numFmtId="0" fontId="12" fillId="0" borderId="0" xfId="0" applyFont="1"/>
    <xf numFmtId="0" fontId="12" fillId="0" borderId="0" xfId="0" applyFont="1" applyFill="1"/>
    <xf numFmtId="3" fontId="12" fillId="0" borderId="0" xfId="0" applyNumberFormat="1" applyFont="1" applyBorder="1"/>
    <xf numFmtId="9" fontId="13" fillId="0" borderId="0" xfId="0" applyNumberFormat="1" applyFont="1" applyAlignment="1">
      <alignment horizontal="center"/>
    </xf>
    <xf numFmtId="0" fontId="14" fillId="0" borderId="0" xfId="0" applyFont="1"/>
    <xf numFmtId="0" fontId="11" fillId="0" borderId="0" xfId="0" applyFont="1" applyBorder="1"/>
    <xf numFmtId="0" fontId="11" fillId="0" borderId="0" xfId="0" applyFont="1" applyAlignment="1"/>
    <xf numFmtId="167" fontId="11" fillId="0" borderId="3" xfId="0" applyNumberFormat="1" applyFont="1" applyBorder="1" applyAlignment="1">
      <alignment horizontal="centerContinuous"/>
    </xf>
    <xf numFmtId="0" fontId="11" fillId="0" borderId="0" xfId="0" applyFont="1" applyFill="1" applyAlignment="1"/>
    <xf numFmtId="3" fontId="11" fillId="0" borderId="0" xfId="0" applyNumberFormat="1" applyFont="1" applyFill="1" applyAlignment="1">
      <alignment horizontal="centerContinuous"/>
    </xf>
    <xf numFmtId="9" fontId="15" fillId="0" borderId="0" xfId="0" applyNumberFormat="1" applyFont="1" applyBorder="1" applyAlignment="1">
      <alignment horizontal="centerContinuous"/>
    </xf>
    <xf numFmtId="0" fontId="16" fillId="0" borderId="0" xfId="0" applyFont="1"/>
    <xf numFmtId="0" fontId="11" fillId="0" borderId="0" xfId="0" applyFont="1" applyBorder="1" applyAlignment="1">
      <alignment horizontal="left"/>
    </xf>
    <xf numFmtId="3" fontId="11" fillId="3" borderId="4" xfId="0" applyNumberFormat="1" applyFont="1" applyFill="1" applyBorder="1" applyAlignment="1">
      <alignment horizontal="center"/>
    </xf>
    <xf numFmtId="167" fontId="11" fillId="3" borderId="5" xfId="0" applyNumberFormat="1" applyFont="1" applyFill="1" applyBorder="1" applyAlignment="1">
      <alignment horizontal="center"/>
    </xf>
    <xf numFmtId="3" fontId="11" fillId="4" borderId="4" xfId="0" applyNumberFormat="1" applyFont="1" applyFill="1" applyBorder="1" applyAlignment="1">
      <alignment horizontal="center"/>
    </xf>
    <xf numFmtId="9" fontId="17" fillId="5" borderId="6" xfId="0" applyNumberFormat="1" applyFont="1" applyFill="1" applyBorder="1" applyAlignment="1">
      <alignment horizontal="center"/>
    </xf>
    <xf numFmtId="0" fontId="16" fillId="0" borderId="0" xfId="0" applyFont="1" applyBorder="1"/>
    <xf numFmtId="3" fontId="11" fillId="3" borderId="7" xfId="0" applyNumberFormat="1" applyFont="1" applyFill="1" applyBorder="1" applyAlignment="1">
      <alignment horizontal="center"/>
    </xf>
    <xf numFmtId="1" fontId="11" fillId="3" borderId="7" xfId="0" applyNumberFormat="1" applyFont="1" applyFill="1" applyBorder="1" applyAlignment="1">
      <alignment horizontal="center"/>
    </xf>
    <xf numFmtId="167" fontId="11" fillId="3" borderId="8" xfId="0" applyNumberFormat="1" applyFont="1" applyFill="1" applyBorder="1" applyAlignment="1">
      <alignment horizontal="center"/>
    </xf>
    <xf numFmtId="3" fontId="11" fillId="4" borderId="7" xfId="0" applyNumberFormat="1" applyFont="1" applyFill="1" applyBorder="1" applyAlignment="1">
      <alignment horizontal="center"/>
    </xf>
    <xf numFmtId="9" fontId="17" fillId="5" borderId="9" xfId="0" applyNumberFormat="1" applyFont="1" applyFill="1" applyBorder="1" applyAlignment="1">
      <alignment horizontal="center"/>
    </xf>
    <xf numFmtId="0" fontId="11" fillId="2" borderId="0" xfId="0" applyFont="1" applyFill="1"/>
    <xf numFmtId="167" fontId="16" fillId="0" borderId="10" xfId="0" applyNumberFormat="1" applyFont="1" applyFill="1" applyBorder="1" applyAlignment="1">
      <alignment horizontal="center"/>
    </xf>
    <xf numFmtId="3" fontId="16" fillId="0" borderId="11" xfId="0" applyNumberFormat="1" applyFont="1" applyFill="1" applyBorder="1"/>
    <xf numFmtId="9" fontId="15" fillId="0" borderId="3" xfId="0" applyNumberFormat="1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9" fontId="16" fillId="0" borderId="10" xfId="6" applyFont="1" applyFill="1" applyBorder="1" applyAlignment="1">
      <alignment horizontal="center"/>
    </xf>
    <xf numFmtId="9" fontId="15" fillId="0" borderId="3" xfId="6" applyNumberFormat="1" applyFont="1" applyFill="1" applyBorder="1" applyAlignment="1">
      <alignment horizontal="center"/>
    </xf>
    <xf numFmtId="9" fontId="15" fillId="5" borderId="3" xfId="6" applyFont="1" applyFill="1" applyBorder="1" applyAlignment="1">
      <alignment horizontal="center"/>
    </xf>
    <xf numFmtId="3" fontId="16" fillId="3" borderId="8" xfId="0" applyNumberFormat="1" applyFont="1" applyFill="1" applyBorder="1"/>
    <xf numFmtId="3" fontId="16" fillId="0" borderId="8" xfId="2" applyNumberFormat="1" applyFont="1" applyFill="1" applyBorder="1" applyAlignment="1">
      <alignment horizontal="right"/>
    </xf>
    <xf numFmtId="9" fontId="16" fillId="0" borderId="8" xfId="6" applyFont="1" applyFill="1" applyBorder="1" applyAlignment="1">
      <alignment horizontal="center"/>
    </xf>
    <xf numFmtId="9" fontId="15" fillId="0" borderId="9" xfId="6" applyNumberFormat="1" applyFont="1" applyFill="1" applyBorder="1" applyAlignment="1">
      <alignment horizontal="center"/>
    </xf>
    <xf numFmtId="9" fontId="15" fillId="5" borderId="8" xfId="6" applyFont="1" applyFill="1" applyBorder="1" applyAlignment="1">
      <alignment horizontal="center"/>
    </xf>
    <xf numFmtId="0" fontId="11" fillId="0" borderId="0" xfId="0" applyFont="1"/>
    <xf numFmtId="9" fontId="17" fillId="0" borderId="3" xfId="6" applyNumberFormat="1" applyFont="1" applyFill="1" applyBorder="1" applyAlignment="1">
      <alignment horizontal="center"/>
    </xf>
    <xf numFmtId="9" fontId="17" fillId="5" borderId="3" xfId="6" applyFont="1" applyFill="1" applyBorder="1" applyAlignment="1">
      <alignment horizontal="center"/>
    </xf>
    <xf numFmtId="0" fontId="16" fillId="0" borderId="11" xfId="0" applyFont="1" applyBorder="1"/>
    <xf numFmtId="3" fontId="16" fillId="0" borderId="8" xfId="0" applyNumberFormat="1" applyFont="1" applyBorder="1"/>
    <xf numFmtId="0" fontId="16" fillId="0" borderId="0" xfId="0" applyFont="1" applyAlignment="1"/>
    <xf numFmtId="0" fontId="18" fillId="0" borderId="0" xfId="0" applyFont="1" applyAlignment="1"/>
    <xf numFmtId="0" fontId="19" fillId="0" borderId="0" xfId="0" applyFont="1"/>
    <xf numFmtId="0" fontId="11" fillId="0" borderId="12" xfId="0" applyFont="1" applyFill="1" applyBorder="1"/>
    <xf numFmtId="3" fontId="11" fillId="0" borderId="0" xfId="0" applyNumberFormat="1" applyFont="1" applyFill="1" applyBorder="1"/>
    <xf numFmtId="0" fontId="16" fillId="0" borderId="0" xfId="0" applyFont="1" applyFill="1" applyBorder="1"/>
    <xf numFmtId="3" fontId="16" fillId="0" borderId="0" xfId="0" applyNumberFormat="1" applyFont="1" applyFill="1"/>
    <xf numFmtId="9" fontId="16" fillId="0" borderId="0" xfId="0" applyNumberFormat="1" applyFont="1" applyFill="1"/>
    <xf numFmtId="0" fontId="11" fillId="0" borderId="2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5" fontId="16" fillId="0" borderId="4" xfId="0" applyNumberFormat="1" applyFont="1" applyFill="1" applyBorder="1" applyAlignment="1">
      <alignment horizontal="left"/>
    </xf>
    <xf numFmtId="3" fontId="16" fillId="0" borderId="13" xfId="7" applyNumberFormat="1" applyFont="1" applyFill="1" applyBorder="1" applyAlignment="1">
      <alignment horizontal="right"/>
    </xf>
    <xf numFmtId="3" fontId="16" fillId="0" borderId="6" xfId="7" applyNumberFormat="1" applyFont="1" applyFill="1" applyBorder="1" applyAlignment="1">
      <alignment horizontal="right"/>
    </xf>
    <xf numFmtId="3" fontId="16" fillId="0" borderId="0" xfId="7" applyNumberFormat="1" applyFont="1" applyFill="1" applyBorder="1" applyAlignment="1">
      <alignment horizontal="right"/>
    </xf>
    <xf numFmtId="15" fontId="16" fillId="0" borderId="11" xfId="0" applyNumberFormat="1" applyFont="1" applyFill="1" applyBorder="1" applyAlignment="1">
      <alignment horizontal="left"/>
    </xf>
    <xf numFmtId="3" fontId="16" fillId="0" borderId="3" xfId="7" applyNumberFormat="1" applyFont="1" applyFill="1" applyBorder="1" applyAlignment="1">
      <alignment horizontal="right"/>
    </xf>
    <xf numFmtId="3" fontId="16" fillId="0" borderId="0" xfId="0" applyNumberFormat="1" applyFont="1"/>
    <xf numFmtId="1" fontId="16" fillId="0" borderId="0" xfId="0" applyNumberFormat="1" applyFont="1"/>
    <xf numFmtId="3" fontId="16" fillId="0" borderId="0" xfId="0" applyNumberFormat="1" applyFont="1" applyFill="1" applyBorder="1" applyAlignment="1">
      <alignment horizontal="right"/>
    </xf>
    <xf numFmtId="3" fontId="16" fillId="0" borderId="3" xfId="0" applyNumberFormat="1" applyFont="1" applyFill="1" applyBorder="1" applyAlignment="1">
      <alignment horizontal="right"/>
    </xf>
    <xf numFmtId="9" fontId="16" fillId="0" borderId="0" xfId="0" applyNumberFormat="1" applyFont="1" applyBorder="1" applyAlignment="1">
      <alignment horizontal="center"/>
    </xf>
    <xf numFmtId="3" fontId="16" fillId="0" borderId="0" xfId="7" applyNumberFormat="1" applyFont="1" applyBorder="1"/>
    <xf numFmtId="9" fontId="15" fillId="0" borderId="0" xfId="0" applyNumberFormat="1" applyFont="1" applyAlignment="1">
      <alignment horizontal="center"/>
    </xf>
    <xf numFmtId="3" fontId="16" fillId="4" borderId="0" xfId="0" applyNumberFormat="1" applyFont="1" applyFill="1" applyBorder="1" applyAlignment="1">
      <alignment horizontal="right"/>
    </xf>
    <xf numFmtId="3" fontId="16" fillId="4" borderId="3" xfId="0" applyNumberFormat="1" applyFont="1" applyFill="1" applyBorder="1" applyAlignment="1">
      <alignment horizontal="right"/>
    </xf>
    <xf numFmtId="3" fontId="16" fillId="0" borderId="0" xfId="0" applyNumberFormat="1" applyFont="1" applyBorder="1"/>
    <xf numFmtId="3" fontId="4" fillId="0" borderId="0" xfId="0" applyNumberFormat="1" applyFont="1" applyBorder="1"/>
    <xf numFmtId="9" fontId="13" fillId="0" borderId="0" xfId="0" applyNumberFormat="1" applyFont="1" applyBorder="1" applyAlignment="1">
      <alignment horizontal="center"/>
    </xf>
    <xf numFmtId="0" fontId="4" fillId="0" borderId="0" xfId="0" applyFont="1" applyBorder="1"/>
    <xf numFmtId="165" fontId="16" fillId="0" borderId="11" xfId="0" applyNumberFormat="1" applyFont="1" applyBorder="1" applyAlignment="1">
      <alignment horizontal="left"/>
    </xf>
    <xf numFmtId="9" fontId="15" fillId="0" borderId="0" xfId="0" applyNumberFormat="1" applyFont="1" applyBorder="1" applyAlignment="1">
      <alignment horizontal="center"/>
    </xf>
    <xf numFmtId="165" fontId="16" fillId="0" borderId="11" xfId="0" applyNumberFormat="1" applyFont="1" applyFill="1" applyBorder="1" applyAlignment="1">
      <alignment horizontal="left"/>
    </xf>
    <xf numFmtId="3" fontId="16" fillId="0" borderId="0" xfId="0" applyNumberFormat="1" applyFont="1" applyFill="1" applyBorder="1"/>
    <xf numFmtId="3" fontId="9" fillId="0" borderId="3" xfId="0" applyNumberFormat="1" applyFont="1" applyFill="1" applyBorder="1"/>
    <xf numFmtId="3" fontId="4" fillId="0" borderId="0" xfId="0" applyNumberFormat="1" applyFont="1" applyFill="1" applyBorder="1"/>
    <xf numFmtId="3" fontId="12" fillId="0" borderId="0" xfId="0" applyNumberFormat="1" applyFont="1" applyBorder="1" applyAlignment="1">
      <alignment horizontal="right"/>
    </xf>
    <xf numFmtId="165" fontId="16" fillId="4" borderId="11" xfId="0" applyNumberFormat="1" applyFont="1" applyFill="1" applyBorder="1" applyAlignment="1">
      <alignment horizontal="left"/>
    </xf>
    <xf numFmtId="3" fontId="16" fillId="4" borderId="0" xfId="0" applyNumberFormat="1" applyFont="1" applyFill="1" applyBorder="1"/>
    <xf numFmtId="3" fontId="4" fillId="0" borderId="0" xfId="0" applyNumberFormat="1" applyFont="1" applyFill="1"/>
    <xf numFmtId="9" fontId="13" fillId="0" borderId="0" xfId="0" applyNumberFormat="1" applyFont="1" applyFill="1" applyAlignment="1">
      <alignment horizontal="center"/>
    </xf>
    <xf numFmtId="9" fontId="4" fillId="0" borderId="0" xfId="0" applyNumberFormat="1" applyFont="1" applyAlignment="1">
      <alignment horizontal="center"/>
    </xf>
    <xf numFmtId="3" fontId="16" fillId="0" borderId="3" xfId="0" applyNumberFormat="1" applyFont="1" applyBorder="1"/>
    <xf numFmtId="9" fontId="4" fillId="0" borderId="0" xfId="0" applyNumberFormat="1" applyFont="1" applyBorder="1" applyAlignment="1">
      <alignment horizontal="center"/>
    </xf>
    <xf numFmtId="3" fontId="16" fillId="0" borderId="3" xfId="0" applyNumberFormat="1" applyFont="1" applyFill="1" applyBorder="1"/>
    <xf numFmtId="3" fontId="12" fillId="0" borderId="0" xfId="0" applyNumberFormat="1" applyFont="1"/>
    <xf numFmtId="166" fontId="4" fillId="0" borderId="0" xfId="2" applyNumberFormat="1" applyFont="1" applyAlignment="1">
      <alignment horizontal="left"/>
    </xf>
    <xf numFmtId="170" fontId="4" fillId="0" borderId="0" xfId="1" applyNumberFormat="1" applyFont="1" applyBorder="1" applyAlignment="1">
      <alignment horizontal="right"/>
    </xf>
    <xf numFmtId="170" fontId="4" fillId="6" borderId="0" xfId="1" applyNumberFormat="1" applyFont="1" applyFill="1" applyBorder="1"/>
    <xf numFmtId="170" fontId="4" fillId="0" borderId="0" xfId="1" applyNumberFormat="1" applyFont="1" applyFill="1" applyBorder="1"/>
    <xf numFmtId="169" fontId="4" fillId="6" borderId="0" xfId="3" applyNumberFormat="1" applyFont="1" applyFill="1"/>
    <xf numFmtId="170" fontId="5" fillId="0" borderId="0" xfId="3" applyNumberFormat="1" applyFont="1" applyAlignment="1">
      <alignment horizontal="right"/>
    </xf>
    <xf numFmtId="0" fontId="4" fillId="0" borderId="0" xfId="3" applyFont="1"/>
    <xf numFmtId="0" fontId="6" fillId="0" borderId="0" xfId="1" applyFont="1" applyAlignment="1">
      <alignment horizontal="left"/>
    </xf>
    <xf numFmtId="170" fontId="6" fillId="0" borderId="0" xfId="1" applyNumberFormat="1" applyFont="1" applyBorder="1" applyAlignment="1">
      <alignment horizontal="right"/>
    </xf>
    <xf numFmtId="170" fontId="4" fillId="0" borderId="0" xfId="3" applyNumberFormat="1" applyFont="1"/>
    <xf numFmtId="169" fontId="4" fillId="0" borderId="0" xfId="3" applyNumberFormat="1" applyFont="1"/>
    <xf numFmtId="170" fontId="4" fillId="0" borderId="0" xfId="3" applyNumberFormat="1" applyFont="1" applyFill="1"/>
    <xf numFmtId="0" fontId="4" fillId="0" borderId="0" xfId="3" applyFont="1" applyFill="1"/>
    <xf numFmtId="0" fontId="8" fillId="0" borderId="0" xfId="1" applyFont="1" applyAlignment="1">
      <alignment horizontal="left"/>
    </xf>
    <xf numFmtId="170" fontId="12" fillId="0" borderId="0" xfId="1" applyNumberFormat="1" applyFont="1" applyFill="1" applyBorder="1" applyAlignment="1">
      <alignment horizontal="right"/>
    </xf>
    <xf numFmtId="170" fontId="4" fillId="0" borderId="0" xfId="1" applyNumberFormat="1" applyFont="1" applyBorder="1"/>
    <xf numFmtId="0" fontId="16" fillId="0" borderId="0" xfId="3" applyFont="1"/>
    <xf numFmtId="170" fontId="11" fillId="3" borderId="5" xfId="1" applyNumberFormat="1" applyFont="1" applyFill="1" applyBorder="1" applyAlignment="1">
      <alignment horizontal="center"/>
    </xf>
    <xf numFmtId="170" fontId="11" fillId="3" borderId="5" xfId="3" applyNumberFormat="1" applyFont="1" applyFill="1" applyBorder="1" applyAlignment="1">
      <alignment horizontal="center"/>
    </xf>
    <xf numFmtId="169" fontId="11" fillId="3" borderId="5" xfId="3" applyNumberFormat="1" applyFont="1" applyFill="1" applyBorder="1" applyAlignment="1">
      <alignment horizontal="center"/>
    </xf>
    <xf numFmtId="1" fontId="11" fillId="3" borderId="8" xfId="3" applyNumberFormat="1" applyFont="1" applyFill="1" applyBorder="1" applyAlignment="1">
      <alignment horizontal="center"/>
    </xf>
    <xf numFmtId="49" fontId="11" fillId="3" borderId="8" xfId="3" applyNumberFormat="1" applyFont="1" applyFill="1" applyBorder="1" applyAlignment="1">
      <alignment horizontal="center"/>
    </xf>
    <xf numFmtId="169" fontId="11" fillId="3" borderId="8" xfId="3" applyNumberFormat="1" applyFont="1" applyFill="1" applyBorder="1" applyAlignment="1">
      <alignment horizontal="center"/>
    </xf>
    <xf numFmtId="0" fontId="11" fillId="0" borderId="0" xfId="1" applyFont="1" applyAlignment="1">
      <alignment horizontal="left"/>
    </xf>
    <xf numFmtId="1" fontId="11" fillId="0" borderId="10" xfId="3" applyNumberFormat="1" applyFont="1" applyFill="1" applyBorder="1" applyAlignment="1">
      <alignment horizontal="center"/>
    </xf>
    <xf numFmtId="1" fontId="11" fillId="0" borderId="10" xfId="3" applyNumberFormat="1" applyFont="1" applyBorder="1" applyAlignment="1">
      <alignment horizontal="center"/>
    </xf>
    <xf numFmtId="169" fontId="11" fillId="0" borderId="10" xfId="3" applyNumberFormat="1" applyFont="1" applyBorder="1" applyAlignment="1">
      <alignment horizontal="center"/>
    </xf>
    <xf numFmtId="170" fontId="16" fillId="0" borderId="10" xfId="3" applyNumberFormat="1" applyFont="1" applyFill="1" applyBorder="1"/>
    <xf numFmtId="170" fontId="16" fillId="0" borderId="10" xfId="3" applyNumberFormat="1" applyFont="1" applyBorder="1"/>
    <xf numFmtId="169" fontId="16" fillId="0" borderId="10" xfId="3" applyNumberFormat="1" applyFont="1" applyBorder="1"/>
    <xf numFmtId="3" fontId="4" fillId="0" borderId="0" xfId="3" applyNumberFormat="1" applyFont="1"/>
    <xf numFmtId="0" fontId="16" fillId="4" borderId="0" xfId="1" applyFont="1" applyFill="1" applyBorder="1" applyAlignment="1">
      <alignment horizontal="left"/>
    </xf>
    <xf numFmtId="3" fontId="16" fillId="4" borderId="10" xfId="8" applyNumberFormat="1" applyFont="1" applyFill="1" applyBorder="1" applyAlignment="1">
      <alignment horizontal="right"/>
    </xf>
    <xf numFmtId="9" fontId="16" fillId="4" borderId="10" xfId="6" applyFont="1" applyFill="1" applyBorder="1"/>
    <xf numFmtId="3" fontId="16" fillId="4" borderId="10" xfId="8" applyNumberFormat="1" applyFont="1" applyFill="1" applyBorder="1"/>
    <xf numFmtId="0" fontId="16" fillId="0" borderId="0" xfId="1" applyFont="1" applyFill="1" applyBorder="1" applyAlignment="1">
      <alignment horizontal="left"/>
    </xf>
    <xf numFmtId="3" fontId="16" fillId="0" borderId="10" xfId="8" applyNumberFormat="1" applyFont="1" applyFill="1" applyBorder="1" applyAlignment="1">
      <alignment horizontal="right"/>
    </xf>
    <xf numFmtId="9" fontId="16" fillId="0" borderId="10" xfId="6" applyFont="1" applyFill="1" applyBorder="1"/>
    <xf numFmtId="3" fontId="16" fillId="0" borderId="10" xfId="8" applyNumberFormat="1" applyFont="1" applyFill="1" applyBorder="1"/>
    <xf numFmtId="3" fontId="4" fillId="0" borderId="0" xfId="3" applyNumberFormat="1" applyFont="1" applyFill="1"/>
    <xf numFmtId="3" fontId="16" fillId="4" borderId="11" xfId="8" applyNumberFormat="1" applyFont="1" applyFill="1" applyBorder="1" applyAlignment="1">
      <alignment horizontal="right"/>
    </xf>
    <xf numFmtId="0" fontId="11" fillId="0" borderId="14" xfId="1" applyFont="1" applyFill="1" applyBorder="1" applyAlignment="1">
      <alignment horizontal="right"/>
    </xf>
    <xf numFmtId="3" fontId="11" fillId="0" borderId="8" xfId="8" applyNumberFormat="1" applyFont="1" applyFill="1" applyBorder="1"/>
    <xf numFmtId="0" fontId="12" fillId="0" borderId="0" xfId="3" applyFont="1" applyFill="1"/>
    <xf numFmtId="0" fontId="16" fillId="0" borderId="0" xfId="1" applyFont="1" applyFill="1" applyAlignment="1">
      <alignment horizontal="left"/>
    </xf>
    <xf numFmtId="170" fontId="16" fillId="0" borderId="10" xfId="1" applyNumberFormat="1" applyFont="1" applyFill="1" applyBorder="1" applyAlignment="1">
      <alignment horizontal="right"/>
    </xf>
    <xf numFmtId="170" fontId="16" fillId="0" borderId="10" xfId="1" applyNumberFormat="1" applyFont="1" applyFill="1" applyBorder="1"/>
    <xf numFmtId="3" fontId="16" fillId="0" borderId="10" xfId="1" applyNumberFormat="1" applyFont="1" applyFill="1" applyBorder="1"/>
    <xf numFmtId="0" fontId="11" fillId="0" borderId="0" xfId="1" applyFont="1" applyFill="1"/>
    <xf numFmtId="3" fontId="16" fillId="0" borderId="3" xfId="8" applyNumberFormat="1" applyFont="1" applyFill="1" applyBorder="1"/>
    <xf numFmtId="170" fontId="16" fillId="0" borderId="10" xfId="8" applyNumberFormat="1" applyFont="1" applyFill="1" applyBorder="1" applyAlignment="1">
      <alignment horizontal="right"/>
    </xf>
    <xf numFmtId="0" fontId="16" fillId="4" borderId="0" xfId="1" applyFont="1" applyFill="1"/>
    <xf numFmtId="3" fontId="16" fillId="4" borderId="10" xfId="1" applyNumberFormat="1" applyFont="1" applyFill="1" applyBorder="1"/>
    <xf numFmtId="0" fontId="16" fillId="0" borderId="0" xfId="1" applyFont="1" applyFill="1"/>
    <xf numFmtId="170" fontId="12" fillId="0" borderId="0" xfId="3" applyNumberFormat="1" applyFont="1" applyFill="1"/>
    <xf numFmtId="0" fontId="12" fillId="0" borderId="0" xfId="3" applyFont="1"/>
    <xf numFmtId="0" fontId="19" fillId="0" borderId="0" xfId="3" applyFont="1"/>
    <xf numFmtId="3" fontId="11" fillId="0" borderId="7" xfId="8" applyNumberFormat="1" applyFont="1" applyFill="1" applyBorder="1"/>
    <xf numFmtId="3" fontId="16" fillId="0" borderId="8" xfId="8" applyNumberFormat="1" applyFont="1" applyFill="1" applyBorder="1"/>
    <xf numFmtId="0" fontId="11" fillId="0" borderId="9" xfId="1" applyFont="1" applyFill="1" applyBorder="1" applyAlignment="1">
      <alignment horizontal="left"/>
    </xf>
    <xf numFmtId="170" fontId="16" fillId="0" borderId="0" xfId="8" applyNumberFormat="1" applyFont="1" applyFill="1" applyBorder="1" applyAlignment="1">
      <alignment horizontal="right"/>
    </xf>
    <xf numFmtId="3" fontId="16" fillId="0" borderId="0" xfId="8" applyNumberFormat="1" applyFont="1" applyFill="1" applyBorder="1"/>
    <xf numFmtId="9" fontId="16" fillId="0" borderId="0" xfId="6" applyFont="1" applyFill="1" applyBorder="1"/>
    <xf numFmtId="3" fontId="16" fillId="0" borderId="11" xfId="8" applyNumberFormat="1" applyFont="1" applyFill="1" applyBorder="1" applyAlignment="1">
      <alignment horizontal="right"/>
    </xf>
    <xf numFmtId="3" fontId="11" fillId="0" borderId="8" xfId="1" applyNumberFormat="1" applyFont="1" applyFill="1" applyBorder="1"/>
    <xf numFmtId="3" fontId="11" fillId="0" borderId="0" xfId="1" applyNumberFormat="1" applyFont="1" applyFill="1" applyBorder="1"/>
    <xf numFmtId="0" fontId="4" fillId="0" borderId="0" xfId="3" applyFont="1" applyBorder="1"/>
    <xf numFmtId="0" fontId="11" fillId="0" borderId="14" xfId="1" applyFont="1" applyFill="1" applyBorder="1" applyAlignment="1">
      <alignment horizontal="left"/>
    </xf>
    <xf numFmtId="3" fontId="11" fillId="0" borderId="14" xfId="1" applyNumberFormat="1" applyFont="1" applyFill="1" applyBorder="1"/>
    <xf numFmtId="0" fontId="11" fillId="0" borderId="0" xfId="1" applyFont="1" applyFill="1" applyBorder="1" applyAlignment="1">
      <alignment horizontal="left"/>
    </xf>
    <xf numFmtId="170" fontId="16" fillId="0" borderId="0" xfId="1" applyNumberFormat="1" applyFont="1" applyFill="1" applyBorder="1" applyAlignment="1">
      <alignment horizontal="right"/>
    </xf>
    <xf numFmtId="3" fontId="16" fillId="0" borderId="0" xfId="1" applyNumberFormat="1" applyFont="1" applyFill="1" applyBorder="1"/>
    <xf numFmtId="0" fontId="11" fillId="0" borderId="0" xfId="1" applyFont="1" applyFill="1" applyAlignment="1">
      <alignment horizontal="left"/>
    </xf>
    <xf numFmtId="3" fontId="11" fillId="0" borderId="1" xfId="1" applyNumberFormat="1" applyFont="1" applyFill="1" applyBorder="1"/>
    <xf numFmtId="3" fontId="16" fillId="0" borderId="0" xfId="3" applyNumberFormat="1" applyFont="1" applyFill="1" applyBorder="1"/>
    <xf numFmtId="170" fontId="16" fillId="0" borderId="0" xfId="3" applyNumberFormat="1" applyFont="1" applyFill="1"/>
    <xf numFmtId="3" fontId="16" fillId="0" borderId="0" xfId="3" applyNumberFormat="1" applyFont="1" applyFill="1"/>
    <xf numFmtId="3" fontId="16" fillId="0" borderId="10" xfId="3" applyNumberFormat="1" applyFont="1" applyFill="1" applyBorder="1"/>
    <xf numFmtId="3" fontId="11" fillId="0" borderId="10" xfId="3" applyNumberFormat="1" applyFont="1" applyFill="1" applyBorder="1"/>
    <xf numFmtId="3" fontId="11" fillId="0" borderId="8" xfId="3" applyNumberFormat="1" applyFont="1" applyFill="1" applyBorder="1"/>
    <xf numFmtId="9" fontId="16" fillId="0" borderId="8" xfId="6" applyFont="1" applyFill="1" applyBorder="1"/>
    <xf numFmtId="0" fontId="11" fillId="0" borderId="15" xfId="1" applyFont="1" applyFill="1" applyBorder="1" applyAlignment="1">
      <alignment horizontal="left"/>
    </xf>
    <xf numFmtId="170" fontId="16" fillId="0" borderId="0" xfId="3" applyNumberFormat="1" applyFont="1" applyFill="1" applyBorder="1"/>
    <xf numFmtId="169" fontId="16" fillId="0" borderId="0" xfId="3" applyNumberFormat="1" applyFont="1" applyFill="1"/>
    <xf numFmtId="0" fontId="16" fillId="0" borderId="0" xfId="3" applyFont="1" applyFill="1"/>
    <xf numFmtId="171" fontId="16" fillId="0" borderId="0" xfId="3" applyNumberFormat="1" applyFont="1" applyFill="1"/>
    <xf numFmtId="170" fontId="16" fillId="0" borderId="0" xfId="3" applyNumberFormat="1" applyFont="1"/>
    <xf numFmtId="169" fontId="16" fillId="0" borderId="0" xfId="3" applyNumberFormat="1" applyFont="1"/>
    <xf numFmtId="0" fontId="11" fillId="3" borderId="3" xfId="5" applyFont="1" applyFill="1" applyBorder="1" applyAlignment="1">
      <alignment horizontal="right" wrapText="1"/>
    </xf>
    <xf numFmtId="0" fontId="11" fillId="0" borderId="3" xfId="5" applyFont="1" applyBorder="1" applyAlignment="1">
      <alignment horizontal="right" wrapText="1"/>
    </xf>
    <xf numFmtId="0" fontId="11" fillId="1" borderId="3" xfId="5" applyFont="1" applyFill="1" applyBorder="1" applyAlignment="1">
      <alignment horizontal="right" wrapText="1"/>
    </xf>
    <xf numFmtId="3" fontId="11" fillId="0" borderId="3" xfId="5" applyNumberFormat="1" applyFont="1" applyBorder="1" applyAlignment="1">
      <alignment horizontal="right" wrapText="1"/>
    </xf>
    <xf numFmtId="3" fontId="16" fillId="3" borderId="3" xfId="5" applyNumberFormat="1" applyFont="1" applyFill="1" applyBorder="1" applyAlignment="1">
      <alignment horizontal="right"/>
    </xf>
    <xf numFmtId="3" fontId="16" fillId="0" borderId="3" xfId="5" applyNumberFormat="1" applyFont="1" applyBorder="1" applyAlignment="1">
      <alignment horizontal="right"/>
    </xf>
    <xf numFmtId="9" fontId="16" fillId="1" borderId="3" xfId="6" applyFont="1" applyFill="1" applyBorder="1" applyAlignment="1">
      <alignment horizontal="right" wrapText="1"/>
    </xf>
    <xf numFmtId="0" fontId="16" fillId="0" borderId="3" xfId="5" applyFont="1" applyBorder="1"/>
    <xf numFmtId="3" fontId="16" fillId="0" borderId="3" xfId="5" applyNumberFormat="1" applyFont="1" applyBorder="1"/>
    <xf numFmtId="168" fontId="16" fillId="1" borderId="3" xfId="5" applyNumberFormat="1" applyFont="1" applyFill="1" applyBorder="1"/>
    <xf numFmtId="3" fontId="11" fillId="3" borderId="2" xfId="5" applyNumberFormat="1" applyFont="1" applyFill="1" applyBorder="1" applyAlignment="1">
      <alignment horizontal="right"/>
    </xf>
    <xf numFmtId="3" fontId="11" fillId="0" borderId="2" xfId="5" applyNumberFormat="1" applyFont="1" applyBorder="1" applyAlignment="1">
      <alignment horizontal="right"/>
    </xf>
    <xf numFmtId="3" fontId="11" fillId="3" borderId="3" xfId="5" applyNumberFormat="1" applyFont="1" applyFill="1" applyBorder="1" applyAlignment="1">
      <alignment horizontal="right"/>
    </xf>
    <xf numFmtId="3" fontId="11" fillId="0" borderId="3" xfId="5" applyNumberFormat="1" applyFont="1" applyBorder="1" applyAlignment="1">
      <alignment horizontal="right"/>
    </xf>
    <xf numFmtId="168" fontId="11" fillId="0" borderId="3" xfId="5" applyNumberFormat="1" applyFont="1" applyBorder="1" applyAlignment="1">
      <alignment horizontal="right"/>
    </xf>
    <xf numFmtId="168" fontId="11" fillId="1" borderId="3" xfId="5" applyNumberFormat="1" applyFont="1" applyFill="1" applyBorder="1" applyAlignment="1">
      <alignment horizontal="right"/>
    </xf>
    <xf numFmtId="0" fontId="16" fillId="3" borderId="3" xfId="5" applyFont="1" applyFill="1" applyBorder="1"/>
    <xf numFmtId="0" fontId="16" fillId="1" borderId="3" xfId="5" applyFont="1" applyFill="1" applyBorder="1"/>
    <xf numFmtId="3" fontId="16" fillId="0" borderId="10" xfId="5" applyNumberFormat="1" applyFont="1" applyBorder="1" applyAlignment="1">
      <alignment horizontal="right"/>
    </xf>
    <xf numFmtId="3" fontId="11" fillId="0" borderId="3" xfId="5" applyNumberFormat="1" applyFont="1" applyBorder="1"/>
    <xf numFmtId="0" fontId="16" fillId="0" borderId="0" xfId="5" applyFont="1" applyBorder="1"/>
    <xf numFmtId="3" fontId="11" fillId="0" borderId="0" xfId="5" applyNumberFormat="1" applyFont="1" applyFill="1" applyBorder="1"/>
    <xf numFmtId="3" fontId="11" fillId="0" borderId="0" xfId="5" applyNumberFormat="1" applyFont="1" applyBorder="1"/>
    <xf numFmtId="3" fontId="20" fillId="6" borderId="0" xfId="5" applyNumberFormat="1" applyFont="1" applyFill="1" applyBorder="1"/>
    <xf numFmtId="169" fontId="11" fillId="0" borderId="0" xfId="5" applyNumberFormat="1" applyFont="1" applyFill="1" applyBorder="1" applyAlignment="1">
      <alignment horizontal="right"/>
    </xf>
    <xf numFmtId="0" fontId="11" fillId="0" borderId="0" xfId="5" applyFont="1" applyBorder="1"/>
    <xf numFmtId="9" fontId="16" fillId="0" borderId="0" xfId="6" applyFont="1" applyFill="1" applyBorder="1" applyAlignment="1">
      <alignment horizontal="right" wrapText="1"/>
    </xf>
    <xf numFmtId="0" fontId="16" fillId="0" borderId="0" xfId="1" applyFont="1" applyAlignment="1">
      <alignment horizontal="left"/>
    </xf>
    <xf numFmtId="0" fontId="16" fillId="0" borderId="0" xfId="5" applyFont="1"/>
    <xf numFmtId="3" fontId="16" fillId="0" borderId="0" xfId="5" applyNumberFormat="1" applyFont="1"/>
    <xf numFmtId="171" fontId="11" fillId="0" borderId="0" xfId="1" applyNumberFormat="1" applyFont="1" applyAlignment="1">
      <alignment horizontal="left"/>
    </xf>
    <xf numFmtId="0" fontId="16" fillId="0" borderId="3" xfId="0" applyFont="1" applyBorder="1"/>
    <xf numFmtId="0" fontId="11" fillId="0" borderId="0" xfId="0" applyFont="1" applyBorder="1" applyAlignment="1">
      <alignment horizontal="right"/>
    </xf>
    <xf numFmtId="3" fontId="16" fillId="0" borderId="0" xfId="0" applyNumberFormat="1" applyFont="1" applyBorder="1" applyAlignment="1">
      <alignment horizontal="right"/>
    </xf>
    <xf numFmtId="0" fontId="6" fillId="0" borderId="0" xfId="0" applyFont="1"/>
    <xf numFmtId="0" fontId="5" fillId="0" borderId="0" xfId="0" applyFont="1" applyAlignment="1">
      <alignment horizontal="center"/>
    </xf>
    <xf numFmtId="3" fontId="16" fillId="4" borderId="3" xfId="0" applyNumberFormat="1" applyFont="1" applyFill="1" applyBorder="1"/>
    <xf numFmtId="0" fontId="4" fillId="0" borderId="0" xfId="0" applyFont="1" applyFill="1" applyBorder="1"/>
    <xf numFmtId="3" fontId="16" fillId="0" borderId="10" xfId="0" applyNumberFormat="1" applyFont="1" applyBorder="1"/>
    <xf numFmtId="3" fontId="16" fillId="0" borderId="10" xfId="2" applyNumberFormat="1" applyFont="1" applyFill="1" applyBorder="1" applyAlignment="1">
      <alignment horizontal="right"/>
    </xf>
    <xf numFmtId="3" fontId="11" fillId="2" borderId="10" xfId="0" applyNumberFormat="1" applyFont="1" applyFill="1" applyBorder="1"/>
    <xf numFmtId="0" fontId="16" fillId="0" borderId="10" xfId="0" applyFont="1" applyBorder="1"/>
    <xf numFmtId="3" fontId="11" fillId="0" borderId="10" xfId="0" applyNumberFormat="1" applyFont="1" applyBorder="1"/>
    <xf numFmtId="3" fontId="11" fillId="0" borderId="1" xfId="0" applyNumberFormat="1" applyFont="1" applyFill="1" applyBorder="1"/>
    <xf numFmtId="9" fontId="11" fillId="1" borderId="3" xfId="6" applyFont="1" applyFill="1" applyBorder="1" applyAlignment="1">
      <alignment horizontal="right" wrapText="1"/>
    </xf>
    <xf numFmtId="9" fontId="15" fillId="5" borderId="9" xfId="6" applyFont="1" applyFill="1" applyBorder="1" applyAlignment="1">
      <alignment horizontal="center"/>
    </xf>
    <xf numFmtId="9" fontId="11" fillId="0" borderId="10" xfId="6" applyFont="1" applyFill="1" applyBorder="1" applyAlignment="1">
      <alignment horizontal="center"/>
    </xf>
    <xf numFmtId="3" fontId="16" fillId="3" borderId="10" xfId="0" applyNumberFormat="1" applyFont="1" applyFill="1" applyBorder="1"/>
    <xf numFmtId="3" fontId="16" fillId="3" borderId="3" xfId="0" applyNumberFormat="1" applyFont="1" applyFill="1" applyBorder="1"/>
    <xf numFmtId="3" fontId="11" fillId="3" borderId="10" xfId="2" applyNumberFormat="1" applyFont="1" applyFill="1" applyBorder="1" applyAlignment="1">
      <alignment horizontal="right"/>
    </xf>
    <xf numFmtId="3" fontId="11" fillId="3" borderId="10" xfId="0" applyNumberFormat="1" applyFont="1" applyFill="1" applyBorder="1"/>
    <xf numFmtId="3" fontId="11" fillId="3" borderId="1" xfId="0" applyNumberFormat="1" applyFont="1" applyFill="1" applyBorder="1"/>
    <xf numFmtId="3" fontId="16" fillId="0" borderId="9" xfId="0" applyNumberFormat="1" applyFont="1" applyBorder="1"/>
    <xf numFmtId="3" fontId="16" fillId="0" borderId="5" xfId="0" applyNumberFormat="1" applyFont="1" applyBorder="1"/>
    <xf numFmtId="3" fontId="16" fillId="0" borderId="10" xfId="0" applyNumberFormat="1" applyFont="1" applyFill="1" applyBorder="1"/>
    <xf numFmtId="3" fontId="18" fillId="0" borderId="8" xfId="0" applyNumberFormat="1" applyFont="1" applyFill="1" applyBorder="1"/>
    <xf numFmtId="3" fontId="11" fillId="0" borderId="10" xfId="0" applyNumberFormat="1" applyFont="1" applyFill="1" applyBorder="1"/>
    <xf numFmtId="3" fontId="16" fillId="0" borderId="8" xfId="0" applyNumberFormat="1" applyFont="1" applyFill="1" applyBorder="1"/>
    <xf numFmtId="3" fontId="11" fillId="0" borderId="10" xfId="2" applyNumberFormat="1" applyFont="1" applyFill="1" applyBorder="1" applyAlignment="1">
      <alignment horizontal="right"/>
    </xf>
    <xf numFmtId="9" fontId="17" fillId="5" borderId="2" xfId="6" applyFont="1" applyFill="1" applyBorder="1" applyAlignment="1">
      <alignment horizontal="center"/>
    </xf>
    <xf numFmtId="3" fontId="15" fillId="0" borderId="3" xfId="0" applyNumberFormat="1" applyFont="1" applyFill="1" applyBorder="1"/>
    <xf numFmtId="3" fontId="17" fillId="0" borderId="3" xfId="0" applyNumberFormat="1" applyFont="1" applyFill="1" applyBorder="1"/>
    <xf numFmtId="3" fontId="15" fillId="0" borderId="3" xfId="7" applyNumberFormat="1" applyFont="1" applyFill="1" applyBorder="1"/>
    <xf numFmtId="3" fontId="17" fillId="0" borderId="3" xfId="7" applyNumberFormat="1" applyFont="1" applyFill="1" applyBorder="1"/>
    <xf numFmtId="3" fontId="11" fillId="0" borderId="3" xfId="0" applyNumberFormat="1" applyFont="1" applyBorder="1"/>
    <xf numFmtId="3" fontId="17" fillId="0" borderId="2" xfId="7" applyNumberFormat="1" applyFont="1" applyFill="1" applyBorder="1"/>
    <xf numFmtId="3" fontId="16" fillId="0" borderId="5" xfId="0" applyNumberFormat="1" applyFont="1" applyFill="1" applyBorder="1"/>
    <xf numFmtId="0" fontId="11" fillId="3" borderId="2" xfId="5" applyFont="1" applyFill="1" applyBorder="1" applyAlignment="1">
      <alignment horizontal="center" vertical="center" wrapText="1"/>
    </xf>
    <xf numFmtId="3" fontId="11" fillId="4" borderId="2" xfId="5" applyNumberFormat="1" applyFont="1" applyFill="1" applyBorder="1" applyAlignment="1">
      <alignment horizontal="center" vertical="center" wrapText="1"/>
    </xf>
    <xf numFmtId="0" fontId="11" fillId="4" borderId="2" xfId="5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left"/>
    </xf>
    <xf numFmtId="9" fontId="17" fillId="0" borderId="2" xfId="7" applyNumberFormat="1" applyFont="1" applyFill="1" applyBorder="1" applyAlignment="1">
      <alignment horizontal="center"/>
    </xf>
    <xf numFmtId="3" fontId="17" fillId="4" borderId="5" xfId="0" applyNumberFormat="1" applyFont="1" applyFill="1" applyBorder="1" applyAlignment="1">
      <alignment horizontal="center"/>
    </xf>
    <xf numFmtId="1" fontId="17" fillId="4" borderId="8" xfId="0" applyNumberFormat="1" applyFont="1" applyFill="1" applyBorder="1" applyAlignment="1">
      <alignment horizontal="center"/>
    </xf>
    <xf numFmtId="3" fontId="18" fillId="0" borderId="8" xfId="0" applyNumberFormat="1" applyFont="1" applyBorder="1"/>
    <xf numFmtId="3" fontId="8" fillId="0" borderId="11" xfId="0" applyNumberFormat="1" applyFont="1" applyBorder="1"/>
    <xf numFmtId="0" fontId="9" fillId="0" borderId="0" xfId="0" applyFont="1" applyBorder="1"/>
    <xf numFmtId="3" fontId="9" fillId="0" borderId="11" xfId="0" applyNumberFormat="1" applyFont="1" applyBorder="1"/>
    <xf numFmtId="0" fontId="8" fillId="0" borderId="0" xfId="0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9" fillId="0" borderId="11" xfId="0" applyFont="1" applyBorder="1" applyAlignment="1">
      <alignment horizontal="center"/>
    </xf>
    <xf numFmtId="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/>
    <xf numFmtId="3" fontId="9" fillId="0" borderId="0" xfId="7" applyNumberFormat="1" applyFont="1" applyFill="1" applyBorder="1" applyAlignment="1">
      <alignment horizontal="right"/>
    </xf>
    <xf numFmtId="3" fontId="9" fillId="0" borderId="0" xfId="7" applyNumberFormat="1" applyFont="1" applyFill="1" applyBorder="1"/>
    <xf numFmtId="0" fontId="16" fillId="0" borderId="2" xfId="5" applyFont="1" applyBorder="1"/>
    <xf numFmtId="0" fontId="11" fillId="0" borderId="3" xfId="5" applyFont="1" applyBorder="1"/>
    <xf numFmtId="0" fontId="11" fillId="0" borderId="2" xfId="5" applyFont="1" applyBorder="1"/>
    <xf numFmtId="3" fontId="8" fillId="0" borderId="0" xfId="0" applyNumberFormat="1" applyFont="1" applyBorder="1"/>
    <xf numFmtId="3" fontId="9" fillId="0" borderId="0" xfId="0" applyNumberFormat="1" applyFont="1" applyBorder="1"/>
    <xf numFmtId="171" fontId="11" fillId="0" borderId="0" xfId="1" applyNumberFormat="1" applyFont="1" applyBorder="1" applyAlignment="1">
      <alignment horizontal="left"/>
    </xf>
    <xf numFmtId="3" fontId="16" fillId="0" borderId="0" xfId="5" applyNumberFormat="1" applyFont="1" applyBorder="1"/>
    <xf numFmtId="0" fontId="9" fillId="0" borderId="3" xfId="0" applyFont="1" applyBorder="1"/>
    <xf numFmtId="0" fontId="8" fillId="0" borderId="3" xfId="0" applyFont="1" applyBorder="1" applyAlignment="1">
      <alignment horizontal="right"/>
    </xf>
    <xf numFmtId="0" fontId="9" fillId="0" borderId="3" xfId="0" applyFont="1" applyFill="1" applyBorder="1"/>
    <xf numFmtId="0" fontId="9" fillId="0" borderId="7" xfId="0" applyFont="1" applyBorder="1" applyAlignment="1">
      <alignment horizontal="center"/>
    </xf>
    <xf numFmtId="3" fontId="9" fillId="0" borderId="14" xfId="0" applyNumberFormat="1" applyFont="1" applyFill="1" applyBorder="1"/>
    <xf numFmtId="0" fontId="9" fillId="0" borderId="9" xfId="0" applyFont="1" applyBorder="1"/>
    <xf numFmtId="0" fontId="16" fillId="0" borderId="12" xfId="5" applyFont="1" applyBorder="1"/>
    <xf numFmtId="0" fontId="16" fillId="0" borderId="11" xfId="5" applyFont="1" applyBorder="1"/>
    <xf numFmtId="0" fontId="11" fillId="0" borderId="11" xfId="5" applyFont="1" applyBorder="1"/>
    <xf numFmtId="0" fontId="11" fillId="0" borderId="12" xfId="5" applyFont="1" applyBorder="1"/>
    <xf numFmtId="171" fontId="11" fillId="0" borderId="14" xfId="1" applyNumberFormat="1" applyFont="1" applyBorder="1" applyAlignment="1">
      <alignment horizontal="left"/>
    </xf>
    <xf numFmtId="165" fontId="16" fillId="4" borderId="11" xfId="0" quotePrefix="1" applyNumberFormat="1" applyFont="1" applyFill="1" applyBorder="1" applyAlignment="1">
      <alignment horizontal="left"/>
    </xf>
    <xf numFmtId="172" fontId="16" fillId="0" borderId="0" xfId="3" applyNumberFormat="1" applyFont="1" applyFill="1"/>
    <xf numFmtId="1" fontId="11" fillId="3" borderId="10" xfId="3" applyNumberFormat="1" applyFont="1" applyFill="1" applyBorder="1" applyAlignment="1">
      <alignment horizontal="center"/>
    </xf>
    <xf numFmtId="170" fontId="16" fillId="3" borderId="10" xfId="3" applyNumberFormat="1" applyFont="1" applyFill="1" applyBorder="1"/>
    <xf numFmtId="3" fontId="16" fillId="3" borderId="10" xfId="8" applyNumberFormat="1" applyFont="1" applyFill="1" applyBorder="1" applyAlignment="1">
      <alignment horizontal="right"/>
    </xf>
    <xf numFmtId="3" fontId="11" fillId="3" borderId="8" xfId="8" applyNumberFormat="1" applyFont="1" applyFill="1" applyBorder="1"/>
    <xf numFmtId="170" fontId="16" fillId="3" borderId="10" xfId="1" applyNumberFormat="1" applyFont="1" applyFill="1" applyBorder="1" applyAlignment="1">
      <alignment horizontal="right"/>
    </xf>
    <xf numFmtId="170" fontId="16" fillId="3" borderId="10" xfId="8" applyNumberFormat="1" applyFont="1" applyFill="1" applyBorder="1" applyAlignment="1">
      <alignment horizontal="right"/>
    </xf>
    <xf numFmtId="3" fontId="16" fillId="3" borderId="10" xfId="1" applyNumberFormat="1" applyFont="1" applyFill="1" applyBorder="1" applyAlignment="1">
      <alignment horizontal="right"/>
    </xf>
    <xf numFmtId="3" fontId="11" fillId="3" borderId="9" xfId="8" applyNumberFormat="1" applyFont="1" applyFill="1" applyBorder="1" applyAlignment="1">
      <alignment horizontal="right"/>
    </xf>
    <xf numFmtId="170" fontId="16" fillId="3" borderId="0" xfId="8" applyNumberFormat="1" applyFont="1" applyFill="1" applyBorder="1" applyAlignment="1">
      <alignment horizontal="right"/>
    </xf>
    <xf numFmtId="3" fontId="11" fillId="3" borderId="8" xfId="1" applyNumberFormat="1" applyFont="1" applyFill="1" applyBorder="1"/>
    <xf numFmtId="3" fontId="11" fillId="3" borderId="0" xfId="1" applyNumberFormat="1" applyFont="1" applyFill="1" applyBorder="1"/>
    <xf numFmtId="170" fontId="16" fillId="3" borderId="0" xfId="1" applyNumberFormat="1" applyFont="1" applyFill="1" applyBorder="1" applyAlignment="1">
      <alignment horizontal="right"/>
    </xf>
    <xf numFmtId="3" fontId="11" fillId="3" borderId="1" xfId="1" applyNumberFormat="1" applyFont="1" applyFill="1" applyBorder="1"/>
    <xf numFmtId="3" fontId="16" fillId="3" borderId="10" xfId="3" applyNumberFormat="1" applyFont="1" applyFill="1" applyBorder="1"/>
    <xf numFmtId="3" fontId="11" fillId="3" borderId="10" xfId="3" applyNumberFormat="1" applyFont="1" applyFill="1" applyBorder="1"/>
    <xf numFmtId="3" fontId="11" fillId="3" borderId="8" xfId="3" applyNumberFormat="1" applyFont="1" applyFill="1" applyBorder="1"/>
    <xf numFmtId="3" fontId="11" fillId="3" borderId="5" xfId="3" applyNumberFormat="1" applyFont="1" applyFill="1" applyBorder="1"/>
    <xf numFmtId="3" fontId="11" fillId="0" borderId="5" xfId="3" applyNumberFormat="1" applyFont="1" applyFill="1" applyBorder="1"/>
    <xf numFmtId="3" fontId="11" fillId="0" borderId="3" xfId="0" applyNumberFormat="1" applyFont="1" applyFill="1" applyBorder="1"/>
    <xf numFmtId="3" fontId="11" fillId="0" borderId="5" xfId="0" applyNumberFormat="1" applyFont="1" applyBorder="1"/>
    <xf numFmtId="9" fontId="22" fillId="0" borderId="8" xfId="6" applyNumberFormat="1" applyFont="1" applyFill="1" applyBorder="1" applyAlignment="1">
      <alignment horizontal="center"/>
    </xf>
    <xf numFmtId="167" fontId="17" fillId="5" borderId="5" xfId="0" applyNumberFormat="1" applyFont="1" applyFill="1" applyBorder="1" applyAlignment="1">
      <alignment horizontal="center"/>
    </xf>
    <xf numFmtId="3" fontId="11" fillId="4" borderId="5" xfId="0" applyNumberFormat="1" applyFont="1" applyFill="1" applyBorder="1" applyAlignment="1">
      <alignment horizontal="center"/>
    </xf>
    <xf numFmtId="167" fontId="17" fillId="5" borderId="8" xfId="0" applyNumberFormat="1" applyFont="1" applyFill="1" applyBorder="1" applyAlignment="1">
      <alignment horizontal="center"/>
    </xf>
    <xf numFmtId="1" fontId="11" fillId="4" borderId="8" xfId="0" applyNumberFormat="1" applyFont="1" applyFill="1" applyBorder="1" applyAlignment="1">
      <alignment horizontal="center"/>
    </xf>
    <xf numFmtId="164" fontId="4" fillId="0" borderId="0" xfId="0" applyNumberFormat="1" applyFont="1"/>
    <xf numFmtId="165" fontId="4" fillId="0" borderId="0" xfId="0" applyNumberFormat="1" applyFont="1"/>
    <xf numFmtId="3" fontId="16" fillId="0" borderId="0" xfId="0" applyNumberFormat="1" applyFont="1" applyAlignment="1">
      <alignment horizontal="center"/>
    </xf>
    <xf numFmtId="3" fontId="16" fillId="0" borderId="9" xfId="0" applyNumberFormat="1" applyFont="1" applyFill="1" applyBorder="1"/>
    <xf numFmtId="3" fontId="11" fillId="0" borderId="2" xfId="0" applyNumberFormat="1" applyFont="1" applyFill="1" applyBorder="1"/>
    <xf numFmtId="3" fontId="16" fillId="3" borderId="5" xfId="0" applyNumberFormat="1" applyFont="1" applyFill="1" applyBorder="1"/>
    <xf numFmtId="9" fontId="15" fillId="0" borderId="8" xfId="6" applyNumberFormat="1" applyFont="1" applyFill="1" applyBorder="1" applyAlignment="1">
      <alignment horizontal="center"/>
    </xf>
    <xf numFmtId="3" fontId="16" fillId="0" borderId="7" xfId="0" applyNumberFormat="1" applyFont="1" applyFill="1" applyBorder="1"/>
    <xf numFmtId="9" fontId="17" fillId="5" borderId="9" xfId="6" applyFont="1" applyFill="1" applyBorder="1" applyAlignment="1">
      <alignment horizontal="center"/>
    </xf>
    <xf numFmtId="9" fontId="15" fillId="0" borderId="1" xfId="6" applyNumberFormat="1" applyFont="1" applyFill="1" applyBorder="1" applyAlignment="1">
      <alignment horizontal="center"/>
    </xf>
    <xf numFmtId="0" fontId="18" fillId="0" borderId="0" xfId="1" applyFont="1" applyFill="1" applyBorder="1" applyAlignment="1">
      <alignment horizontal="left"/>
    </xf>
    <xf numFmtId="3" fontId="18" fillId="0" borderId="10" xfId="8" applyNumberFormat="1" applyFont="1" applyFill="1" applyBorder="1" applyAlignment="1">
      <alignment horizontal="right"/>
    </xf>
    <xf numFmtId="3" fontId="18" fillId="0" borderId="10" xfId="8" applyNumberFormat="1" applyFont="1" applyFill="1" applyBorder="1"/>
    <xf numFmtId="9" fontId="16" fillId="0" borderId="5" xfId="6" applyFont="1" applyFill="1" applyBorder="1"/>
    <xf numFmtId="3" fontId="16" fillId="0" borderId="1" xfId="8" applyNumberFormat="1" applyFont="1" applyFill="1" applyBorder="1"/>
    <xf numFmtId="3" fontId="11" fillId="0" borderId="1" xfId="8" applyNumberFormat="1" applyFont="1" applyFill="1" applyBorder="1"/>
    <xf numFmtId="0" fontId="0" fillId="0" borderId="0" xfId="0" applyBorder="1" applyAlignment="1">
      <alignment horizontal="center"/>
    </xf>
    <xf numFmtId="0" fontId="9" fillId="0" borderId="0" xfId="0" applyFont="1" applyFill="1" applyBorder="1"/>
    <xf numFmtId="3" fontId="11" fillId="0" borderId="3" xfId="2" applyNumberFormat="1" applyFont="1" applyFill="1" applyBorder="1" applyAlignment="1">
      <alignment horizontal="right"/>
    </xf>
    <xf numFmtId="3" fontId="18" fillId="3" borderId="8" xfId="0" applyNumberFormat="1" applyFont="1" applyFill="1" applyBorder="1"/>
    <xf numFmtId="0" fontId="11" fillId="0" borderId="12" xfId="0" applyFont="1" applyFill="1" applyBorder="1" applyAlignment="1">
      <alignment horizontal="left"/>
    </xf>
    <xf numFmtId="0" fontId="12" fillId="0" borderId="15" xfId="0" applyFont="1" applyBorder="1" applyAlignment="1">
      <alignment horizontal="right"/>
    </xf>
    <xf numFmtId="0" fontId="9" fillId="0" borderId="0" xfId="1" applyFont="1" applyFill="1" applyBorder="1" applyAlignment="1">
      <alignment horizontal="left"/>
    </xf>
    <xf numFmtId="9" fontId="11" fillId="0" borderId="8" xfId="6" applyFont="1" applyFill="1" applyBorder="1"/>
    <xf numFmtId="9" fontId="11" fillId="0" borderId="1" xfId="6" applyFont="1" applyFill="1" applyBorder="1"/>
    <xf numFmtId="0" fontId="16" fillId="4" borderId="0" xfId="1" applyFont="1" applyFill="1" applyAlignment="1">
      <alignment horizontal="left"/>
    </xf>
    <xf numFmtId="9" fontId="16" fillId="0" borderId="3" xfId="5" applyNumberFormat="1" applyFont="1" applyBorder="1" applyAlignment="1">
      <alignment horizontal="right"/>
    </xf>
    <xf numFmtId="9" fontId="16" fillId="0" borderId="1" xfId="5" applyNumberFormat="1" applyFont="1" applyBorder="1" applyAlignment="1">
      <alignment horizontal="right"/>
    </xf>
    <xf numFmtId="9" fontId="11" fillId="0" borderId="1" xfId="6" applyFont="1" applyFill="1" applyBorder="1" applyAlignment="1">
      <alignment horizontal="center"/>
    </xf>
    <xf numFmtId="4" fontId="16" fillId="0" borderId="0" xfId="0" applyNumberFormat="1" applyFont="1"/>
    <xf numFmtId="3" fontId="16" fillId="7" borderId="0" xfId="0" applyNumberFormat="1" applyFont="1" applyFill="1" applyBorder="1"/>
    <xf numFmtId="165" fontId="16" fillId="7" borderId="11" xfId="0" applyNumberFormat="1" applyFont="1" applyFill="1" applyBorder="1" applyAlignment="1">
      <alignment horizontal="left"/>
    </xf>
    <xf numFmtId="3" fontId="16" fillId="7" borderId="3" xfId="0" applyNumberFormat="1" applyFont="1" applyFill="1" applyBorder="1"/>
    <xf numFmtId="0" fontId="11" fillId="0" borderId="0" xfId="0" applyFont="1" applyFill="1" applyBorder="1" applyAlignment="1">
      <alignment horizontal="center"/>
    </xf>
    <xf numFmtId="3" fontId="16" fillId="0" borderId="0" xfId="0" quotePrefix="1" applyNumberFormat="1" applyFont="1" applyFill="1" applyBorder="1" applyAlignment="1">
      <alignment horizontal="center"/>
    </xf>
    <xf numFmtId="3" fontId="16" fillId="0" borderId="0" xfId="7" applyNumberFormat="1" applyFont="1" applyFill="1" applyBorder="1" applyAlignment="1">
      <alignment horizontal="center"/>
    </xf>
    <xf numFmtId="167" fontId="16" fillId="0" borderId="0" xfId="0" applyNumberFormat="1" applyFont="1" applyFill="1" applyBorder="1" applyAlignment="1">
      <alignment horizontal="center"/>
    </xf>
    <xf numFmtId="167" fontId="16" fillId="4" borderId="0" xfId="0" applyNumberFormat="1" applyFont="1" applyFill="1" applyBorder="1" applyAlignment="1">
      <alignment horizontal="center"/>
    </xf>
    <xf numFmtId="3" fontId="16" fillId="0" borderId="0" xfId="7" applyNumberFormat="1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67" fontId="16" fillId="0" borderId="0" xfId="0" applyNumberFormat="1" applyFont="1" applyBorder="1" applyAlignment="1">
      <alignment horizontal="center"/>
    </xf>
    <xf numFmtId="0" fontId="16" fillId="4" borderId="0" xfId="0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 horizontal="center"/>
    </xf>
    <xf numFmtId="3" fontId="16" fillId="4" borderId="0" xfId="0" applyNumberFormat="1" applyFont="1" applyFill="1" applyBorder="1" applyAlignment="1">
      <alignment horizontal="center"/>
    </xf>
    <xf numFmtId="3" fontId="25" fillId="0" borderId="3" xfId="0" applyNumberFormat="1" applyFont="1" applyFill="1" applyBorder="1" applyAlignment="1">
      <alignment horizontal="left"/>
    </xf>
    <xf numFmtId="9" fontId="16" fillId="0" borderId="0" xfId="6" applyFont="1" applyFill="1" applyBorder="1" applyAlignment="1">
      <alignment horizontal="center"/>
    </xf>
    <xf numFmtId="165" fontId="16" fillId="8" borderId="11" xfId="0" applyNumberFormat="1" applyFont="1" applyFill="1" applyBorder="1" applyAlignment="1">
      <alignment horizontal="left"/>
    </xf>
    <xf numFmtId="3" fontId="16" fillId="8" borderId="0" xfId="0" applyNumberFormat="1" applyFont="1" applyFill="1" applyBorder="1"/>
    <xf numFmtId="3" fontId="16" fillId="8" borderId="3" xfId="0" applyNumberFormat="1" applyFont="1" applyFill="1" applyBorder="1"/>
    <xf numFmtId="165" fontId="16" fillId="8" borderId="7" xfId="0" applyNumberFormat="1" applyFont="1" applyFill="1" applyBorder="1" applyAlignment="1">
      <alignment horizontal="left"/>
    </xf>
    <xf numFmtId="3" fontId="16" fillId="8" borderId="14" xfId="0" applyNumberFormat="1" applyFont="1" applyFill="1" applyBorder="1"/>
    <xf numFmtId="3" fontId="16" fillId="8" borderId="9" xfId="0" applyNumberFormat="1" applyFont="1" applyFill="1" applyBorder="1"/>
    <xf numFmtId="3" fontId="26" fillId="3" borderId="10" xfId="1" applyNumberFormat="1" applyFont="1" applyFill="1" applyBorder="1" applyAlignment="1">
      <alignment horizontal="right"/>
    </xf>
    <xf numFmtId="0" fontId="8" fillId="0" borderId="4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9">
    <cellStyle name="Normal" xfId="0" builtinId="0"/>
    <cellStyle name="Normal_1995 Sammanfattning" xfId="1"/>
    <cellStyle name="Normal_Intäkter 98-1 till styrelsen" xfId="2"/>
    <cellStyle name="Normal_kostnader" xfId="3"/>
    <cellStyle name="Normal_Pro2000" xfId="4"/>
    <cellStyle name="Normal_Version I" xfId="5"/>
    <cellStyle name="Procent" xfId="6" builtinId="5"/>
    <cellStyle name="Tusental" xfId="7" builtinId="3"/>
    <cellStyle name="Tusental_1995 Sammanfattning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EAEAEA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097" name="Text 1"/>
        <xdr:cNvSpPr txBox="1">
          <a:spLocks noChangeArrowheads="1"/>
        </xdr:cNvSpPr>
      </xdr:nvSpPr>
      <xdr:spPr bwMode="auto">
        <a:xfrm>
          <a:off x="0" y="0"/>
          <a:ext cx="14192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sv-SE" sz="1400" b="1" i="0" strike="noStrike">
              <a:solidFill>
                <a:srgbClr val="000000"/>
              </a:solidFill>
              <a:latin typeface="Tms Rmn"/>
            </a:rPr>
            <a:t>KOSTNADSBUDGET 1992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t&#228;kter/Int&#228;kter%20m&#229;na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ertial%201/Int&#228;ktsprognos%202010-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Tertial%202/Budget%202011-2016/Int&#228;kter%20prognos%202010-20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RO2010-1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PRO2010-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PRO2010-0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c"/>
      <sheetName val="dec09"/>
      <sheetName val="jan"/>
      <sheetName val="jan10"/>
      <sheetName val="feb"/>
      <sheetName val="feb10"/>
      <sheetName val="mar"/>
      <sheetName val="mar10"/>
      <sheetName val="april"/>
      <sheetName val="apr10"/>
      <sheetName val="maj"/>
      <sheetName val="maj10"/>
      <sheetName val="jun"/>
      <sheetName val="jun10"/>
      <sheetName val="jul"/>
      <sheetName val="jul10"/>
      <sheetName val="aug"/>
      <sheetName val="aug10"/>
      <sheetName val="sep"/>
      <sheetName val="sept10"/>
      <sheetName val="okt"/>
      <sheetName val="okt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7">
          <cell r="J7">
            <v>2423100</v>
          </cell>
        </row>
        <row r="8">
          <cell r="J8">
            <v>57430</v>
          </cell>
        </row>
        <row r="9">
          <cell r="J9">
            <v>15464520</v>
          </cell>
        </row>
        <row r="13">
          <cell r="J13">
            <v>3890881.3</v>
          </cell>
        </row>
        <row r="17">
          <cell r="J17">
            <v>2325255.65</v>
          </cell>
        </row>
        <row r="18">
          <cell r="J18">
            <v>33364145.5</v>
          </cell>
        </row>
        <row r="21">
          <cell r="J21">
            <v>801065.46</v>
          </cell>
        </row>
        <row r="25">
          <cell r="J25">
            <v>431603</v>
          </cell>
        </row>
        <row r="26">
          <cell r="J26">
            <v>287170</v>
          </cell>
        </row>
        <row r="29">
          <cell r="J29">
            <v>1778707.56</v>
          </cell>
        </row>
        <row r="44">
          <cell r="J44">
            <v>587974.72</v>
          </cell>
        </row>
        <row r="45">
          <cell r="J45">
            <v>640361.5</v>
          </cell>
        </row>
        <row r="46">
          <cell r="J46">
            <v>5192022.25</v>
          </cell>
        </row>
        <row r="47">
          <cell r="J47">
            <v>230308.85</v>
          </cell>
        </row>
        <row r="48">
          <cell r="J48">
            <v>10000245</v>
          </cell>
        </row>
        <row r="49">
          <cell r="J49">
            <v>-6442166.54</v>
          </cell>
        </row>
        <row r="53">
          <cell r="J53">
            <v>268229</v>
          </cell>
        </row>
        <row r="54">
          <cell r="J54">
            <v>82000</v>
          </cell>
        </row>
        <row r="55">
          <cell r="J55">
            <v>17500</v>
          </cell>
        </row>
        <row r="56">
          <cell r="J56">
            <v>160036</v>
          </cell>
        </row>
        <row r="57">
          <cell r="J57">
            <v>24261.5</v>
          </cell>
        </row>
        <row r="62">
          <cell r="J62">
            <v>50610.21</v>
          </cell>
        </row>
        <row r="68">
          <cell r="J68">
            <v>65732.800000000003</v>
          </cell>
        </row>
        <row r="69">
          <cell r="J69">
            <v>347010</v>
          </cell>
        </row>
        <row r="76">
          <cell r="J76">
            <v>0</v>
          </cell>
        </row>
        <row r="79">
          <cell r="J79">
            <v>551446.30000000005</v>
          </cell>
        </row>
        <row r="80">
          <cell r="J80">
            <v>19904.439999999999</v>
          </cell>
        </row>
      </sheetData>
      <sheetData sheetId="6" refreshError="1"/>
      <sheetData sheetId="7" refreshError="1"/>
      <sheetData sheetId="8" refreshError="1"/>
      <sheetData sheetId="9">
        <row r="7">
          <cell r="D7">
            <v>1508330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>
        <row r="7">
          <cell r="D7">
            <v>2129450</v>
          </cell>
          <cell r="I7">
            <v>2081870</v>
          </cell>
        </row>
        <row r="8">
          <cell r="D8">
            <v>47200</v>
          </cell>
          <cell r="I8">
            <v>47510</v>
          </cell>
        </row>
        <row r="9">
          <cell r="D9">
            <v>14050430</v>
          </cell>
          <cell r="I9">
            <v>12724470</v>
          </cell>
        </row>
        <row r="13">
          <cell r="D13">
            <v>1362154.79</v>
          </cell>
          <cell r="I13">
            <v>2719802.61</v>
          </cell>
        </row>
        <row r="17">
          <cell r="D17">
            <v>1907701.2</v>
          </cell>
          <cell r="I17">
            <v>1779539.11</v>
          </cell>
        </row>
        <row r="18">
          <cell r="D18">
            <v>31766131</v>
          </cell>
          <cell r="I18">
            <v>27429385</v>
          </cell>
        </row>
        <row r="21">
          <cell r="D21">
            <v>194878.33</v>
          </cell>
          <cell r="I21">
            <v>746127.46</v>
          </cell>
        </row>
        <row r="25">
          <cell r="D25">
            <v>258095.57</v>
          </cell>
          <cell r="I25">
            <v>396293</v>
          </cell>
        </row>
        <row r="26">
          <cell r="D26">
            <v>138551.95000000001</v>
          </cell>
          <cell r="I26">
            <v>227834</v>
          </cell>
        </row>
        <row r="29">
          <cell r="D29">
            <v>1080503.5</v>
          </cell>
          <cell r="I29">
            <v>1406586.9500000002</v>
          </cell>
        </row>
        <row r="44">
          <cell r="D44">
            <v>495017.43</v>
          </cell>
          <cell r="I44">
            <v>472768.96</v>
          </cell>
        </row>
        <row r="45">
          <cell r="D45">
            <v>316148.69</v>
          </cell>
          <cell r="I45">
            <v>511337.18</v>
          </cell>
        </row>
        <row r="46">
          <cell r="D46">
            <v>0</v>
          </cell>
          <cell r="I46">
            <v>0</v>
          </cell>
        </row>
        <row r="47">
          <cell r="D47">
            <v>0</v>
          </cell>
          <cell r="I47">
            <v>0</v>
          </cell>
        </row>
        <row r="48">
          <cell r="D48">
            <v>5540123</v>
          </cell>
          <cell r="I48">
            <v>5000123</v>
          </cell>
        </row>
        <row r="49">
          <cell r="D49">
            <v>-4736523.6399999997</v>
          </cell>
          <cell r="I49">
            <v>-4473186.7</v>
          </cell>
        </row>
        <row r="53">
          <cell r="D53">
            <v>177942</v>
          </cell>
          <cell r="I53">
            <v>150944</v>
          </cell>
        </row>
        <row r="54">
          <cell r="D54">
            <v>0</v>
          </cell>
          <cell r="I54">
            <v>33000</v>
          </cell>
        </row>
        <row r="55">
          <cell r="D55">
            <v>0</v>
          </cell>
          <cell r="I55">
            <v>7000</v>
          </cell>
        </row>
        <row r="56">
          <cell r="D56">
            <v>83500</v>
          </cell>
          <cell r="I56">
            <v>160036</v>
          </cell>
        </row>
        <row r="57">
          <cell r="D57">
            <v>14800</v>
          </cell>
          <cell r="I57">
            <v>21351.5</v>
          </cell>
        </row>
        <row r="62">
          <cell r="D62">
            <v>29371.24</v>
          </cell>
          <cell r="I62">
            <v>38734.74</v>
          </cell>
        </row>
        <row r="68">
          <cell r="D68">
            <v>55756</v>
          </cell>
          <cell r="I68">
            <v>65433.8</v>
          </cell>
        </row>
        <row r="69">
          <cell r="D69">
            <v>305249</v>
          </cell>
          <cell r="I69">
            <v>312670</v>
          </cell>
        </row>
        <row r="76">
          <cell r="D76">
            <v>222743.75</v>
          </cell>
          <cell r="I76">
            <v>0</v>
          </cell>
        </row>
        <row r="79">
          <cell r="D79">
            <v>0</v>
          </cell>
        </row>
        <row r="80">
          <cell r="D80">
            <v>136</v>
          </cell>
          <cell r="I80">
            <v>13182.29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gnos"/>
    </sheetNames>
    <sheetDataSet>
      <sheetData sheetId="0">
        <row r="6">
          <cell r="D6">
            <v>2200000</v>
          </cell>
        </row>
        <row r="7">
          <cell r="D7">
            <v>65000</v>
          </cell>
        </row>
        <row r="8">
          <cell r="D8">
            <v>17000000</v>
          </cell>
        </row>
        <row r="12">
          <cell r="D12">
            <v>2500000</v>
          </cell>
        </row>
        <row r="16">
          <cell r="D16">
            <v>2300000</v>
          </cell>
        </row>
        <row r="17">
          <cell r="D17">
            <v>38500000</v>
          </cell>
        </row>
        <row r="20">
          <cell r="D20">
            <v>300000</v>
          </cell>
        </row>
        <row r="24">
          <cell r="D24">
            <v>375000</v>
          </cell>
        </row>
        <row r="25">
          <cell r="D25">
            <v>225000</v>
          </cell>
        </row>
        <row r="28">
          <cell r="D28">
            <v>1700000</v>
          </cell>
        </row>
        <row r="43">
          <cell r="D43">
            <v>600000</v>
          </cell>
        </row>
        <row r="44">
          <cell r="D44">
            <v>10000000</v>
          </cell>
        </row>
        <row r="45">
          <cell r="D45">
            <v>4979641</v>
          </cell>
        </row>
        <row r="46">
          <cell r="D46">
            <v>189596</v>
          </cell>
        </row>
        <row r="47">
          <cell r="D47">
            <v>10000000</v>
          </cell>
        </row>
        <row r="48">
          <cell r="D48">
            <v>-7883616.0700000003</v>
          </cell>
        </row>
        <row r="49">
          <cell r="D49">
            <v>100000</v>
          </cell>
        </row>
        <row r="53">
          <cell r="D53">
            <v>321000</v>
          </cell>
        </row>
        <row r="54">
          <cell r="D54">
            <v>0</v>
          </cell>
        </row>
        <row r="55">
          <cell r="D55">
            <v>25000</v>
          </cell>
        </row>
        <row r="56">
          <cell r="D56">
            <v>50000</v>
          </cell>
        </row>
        <row r="57">
          <cell r="D57">
            <v>25000</v>
          </cell>
        </row>
        <row r="62">
          <cell r="D62">
            <v>50000</v>
          </cell>
        </row>
        <row r="68">
          <cell r="D68">
            <v>60000</v>
          </cell>
        </row>
        <row r="69">
          <cell r="D69">
            <v>325000</v>
          </cell>
        </row>
        <row r="76">
          <cell r="D76">
            <v>813000</v>
          </cell>
        </row>
        <row r="79">
          <cell r="D79">
            <v>450000</v>
          </cell>
        </row>
        <row r="80">
          <cell r="D80">
            <v>20000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täkter prognos-10, budget-11"/>
      <sheetName val="kommentarer 2011"/>
    </sheetNames>
    <sheetDataSet>
      <sheetData sheetId="0">
        <row r="7">
          <cell r="G7">
            <v>2200000</v>
          </cell>
        </row>
        <row r="8">
          <cell r="G8">
            <v>55000</v>
          </cell>
        </row>
        <row r="9">
          <cell r="G9">
            <v>17100000</v>
          </cell>
        </row>
        <row r="13">
          <cell r="G13">
            <v>2200000</v>
          </cell>
        </row>
        <row r="17">
          <cell r="G17">
            <v>2350000</v>
          </cell>
        </row>
        <row r="18">
          <cell r="G18">
            <v>38755000</v>
          </cell>
        </row>
        <row r="19">
          <cell r="G19">
            <v>300000</v>
          </cell>
        </row>
        <row r="23">
          <cell r="G23">
            <v>350000</v>
          </cell>
        </row>
        <row r="24">
          <cell r="G24">
            <v>200000</v>
          </cell>
        </row>
        <row r="27">
          <cell r="G27">
            <v>1700000</v>
          </cell>
        </row>
        <row r="41">
          <cell r="G41">
            <v>500000</v>
          </cell>
        </row>
        <row r="42">
          <cell r="G42">
            <v>10400000</v>
          </cell>
        </row>
        <row r="43">
          <cell r="G43">
            <v>4915000</v>
          </cell>
        </row>
        <row r="44">
          <cell r="G44">
            <v>172000</v>
          </cell>
        </row>
        <row r="45">
          <cell r="G45">
            <v>11080000</v>
          </cell>
        </row>
        <row r="46">
          <cell r="G46">
            <v>-8002500</v>
          </cell>
        </row>
        <row r="47">
          <cell r="G47">
            <v>100000</v>
          </cell>
        </row>
        <row r="51">
          <cell r="G51">
            <v>300000</v>
          </cell>
        </row>
        <row r="53">
          <cell r="G53">
            <v>0</v>
          </cell>
        </row>
        <row r="54">
          <cell r="G54">
            <v>85000</v>
          </cell>
        </row>
        <row r="55">
          <cell r="G55">
            <v>20000</v>
          </cell>
        </row>
        <row r="60">
          <cell r="G60">
            <v>40000</v>
          </cell>
        </row>
        <row r="66">
          <cell r="G66">
            <v>55000</v>
          </cell>
        </row>
        <row r="67">
          <cell r="G67">
            <v>325000</v>
          </cell>
        </row>
        <row r="74">
          <cell r="G74">
            <v>665000</v>
          </cell>
        </row>
        <row r="77">
          <cell r="G77">
            <v>450000</v>
          </cell>
        </row>
        <row r="78">
          <cell r="G78">
            <v>10000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kt-10"/>
      <sheetName val="Sammanfattning"/>
    </sheetNames>
    <sheetDataSet>
      <sheetData sheetId="0" refreshError="1"/>
      <sheetData sheetId="1">
        <row r="7">
          <cell r="C7">
            <v>444.31499999999994</v>
          </cell>
        </row>
        <row r="8">
          <cell r="C8">
            <v>808.54199999999992</v>
          </cell>
        </row>
        <row r="9">
          <cell r="C9">
            <v>0</v>
          </cell>
        </row>
        <row r="10">
          <cell r="C10">
            <v>326.63800000000003</v>
          </cell>
        </row>
        <row r="11">
          <cell r="C11">
            <v>323.82499999999999</v>
          </cell>
        </row>
        <row r="12">
          <cell r="C12">
            <v>84.974999999999994</v>
          </cell>
        </row>
        <row r="16">
          <cell r="C16">
            <v>736.3549999999999</v>
          </cell>
        </row>
        <row r="17">
          <cell r="C17">
            <v>175.21399999999997</v>
          </cell>
        </row>
        <row r="18">
          <cell r="C18">
            <v>0</v>
          </cell>
        </row>
        <row r="19">
          <cell r="C19">
            <v>1507.798</v>
          </cell>
        </row>
        <row r="20">
          <cell r="C20">
            <v>304.10300000000001</v>
          </cell>
        </row>
        <row r="21">
          <cell r="C21">
            <v>22.776999999999997</v>
          </cell>
        </row>
        <row r="22">
          <cell r="C22">
            <v>209.20699999999999</v>
          </cell>
        </row>
        <row r="23">
          <cell r="C23">
            <v>29.709000000000003</v>
          </cell>
        </row>
        <row r="24">
          <cell r="C24">
            <v>365.30100000000004</v>
          </cell>
        </row>
        <row r="25">
          <cell r="C25">
            <v>3.9380000000000002</v>
          </cell>
        </row>
        <row r="29">
          <cell r="C29">
            <v>38.567999999999998</v>
          </cell>
        </row>
        <row r="30">
          <cell r="C30">
            <v>328.87599999999998</v>
          </cell>
        </row>
        <row r="31">
          <cell r="C31">
            <v>46.811</v>
          </cell>
        </row>
        <row r="32">
          <cell r="C32">
            <v>130.46199999999999</v>
          </cell>
        </row>
        <row r="33">
          <cell r="C33">
            <v>160.86200000000002</v>
          </cell>
        </row>
        <row r="34">
          <cell r="C34">
            <v>77.515999999999991</v>
          </cell>
        </row>
        <row r="35">
          <cell r="C35">
            <v>397.93400000000003</v>
          </cell>
        </row>
        <row r="36">
          <cell r="C36">
            <v>150.989</v>
          </cell>
        </row>
        <row r="37">
          <cell r="C37">
            <v>131.68299999999999</v>
          </cell>
        </row>
        <row r="38">
          <cell r="C38">
            <v>78.052999999999997</v>
          </cell>
        </row>
        <row r="42">
          <cell r="C42">
            <v>321.05599999999998</v>
          </cell>
        </row>
        <row r="43">
          <cell r="C43">
            <v>0.31</v>
          </cell>
        </row>
        <row r="44">
          <cell r="C44">
            <v>39.184999999999995</v>
          </cell>
        </row>
        <row r="45">
          <cell r="C45">
            <v>207.71899999999997</v>
          </cell>
        </row>
        <row r="46">
          <cell r="C46">
            <v>9.1310000000000002</v>
          </cell>
        </row>
        <row r="47">
          <cell r="C47">
            <v>9.91</v>
          </cell>
        </row>
        <row r="48">
          <cell r="C48">
            <v>23.131999999999998</v>
          </cell>
        </row>
        <row r="52">
          <cell r="C52">
            <v>4740.6859999999997</v>
          </cell>
        </row>
        <row r="53">
          <cell r="C53">
            <v>1545.1929999999998</v>
          </cell>
        </row>
        <row r="54">
          <cell r="C54">
            <v>2309.8269999999998</v>
          </cell>
        </row>
        <row r="55">
          <cell r="C55">
            <v>48.414999999999999</v>
          </cell>
        </row>
        <row r="56">
          <cell r="C56">
            <v>1032.3030000000001</v>
          </cell>
        </row>
        <row r="57">
          <cell r="C57">
            <v>233.76700000000002</v>
          </cell>
        </row>
        <row r="58">
          <cell r="C58">
            <v>144.44999999999999</v>
          </cell>
        </row>
        <row r="59">
          <cell r="C59">
            <v>-1116.6659999999999</v>
          </cell>
        </row>
        <row r="65">
          <cell r="C65">
            <v>3098.2770000000005</v>
          </cell>
        </row>
        <row r="66">
          <cell r="C66">
            <v>315.68799999999999</v>
          </cell>
        </row>
        <row r="67">
          <cell r="C67">
            <v>443.505</v>
          </cell>
        </row>
        <row r="68">
          <cell r="C68">
            <v>313.81099999999998</v>
          </cell>
        </row>
        <row r="69">
          <cell r="C69">
            <v>591.66</v>
          </cell>
        </row>
        <row r="70">
          <cell r="C70">
            <v>16643.910000000003</v>
          </cell>
        </row>
        <row r="77">
          <cell r="C77">
            <v>21095</v>
          </cell>
        </row>
        <row r="78">
          <cell r="C78">
            <v>218.80600000000001</v>
          </cell>
        </row>
        <row r="79">
          <cell r="C79">
            <v>171.93700000000001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pcs04"/>
      <sheetName val="apr-10"/>
      <sheetName val="Sammanfattning"/>
    </sheetNames>
    <sheetDataSet>
      <sheetData sheetId="0"/>
      <sheetData sheetId="1"/>
      <sheetData sheetId="2">
        <row r="7">
          <cell r="C7">
            <v>133.78399999999999</v>
          </cell>
          <cell r="E7">
            <v>710</v>
          </cell>
        </row>
        <row r="8">
          <cell r="E8">
            <v>782</v>
          </cell>
        </row>
        <row r="9">
          <cell r="E9">
            <v>0</v>
          </cell>
        </row>
        <row r="10">
          <cell r="E10">
            <v>478</v>
          </cell>
        </row>
        <row r="11">
          <cell r="E11">
            <v>355</v>
          </cell>
        </row>
        <row r="12">
          <cell r="E12">
            <v>126</v>
          </cell>
        </row>
        <row r="16">
          <cell r="E16">
            <v>836</v>
          </cell>
        </row>
        <row r="17">
          <cell r="E17">
            <v>250</v>
          </cell>
        </row>
        <row r="18">
          <cell r="E18">
            <v>0</v>
          </cell>
        </row>
        <row r="19">
          <cell r="E19">
            <v>2558</v>
          </cell>
        </row>
        <row r="20">
          <cell r="E20">
            <v>682</v>
          </cell>
        </row>
        <row r="21">
          <cell r="E21">
            <v>44</v>
          </cell>
        </row>
        <row r="22">
          <cell r="E22">
            <v>255</v>
          </cell>
        </row>
        <row r="23">
          <cell r="E23">
            <v>55</v>
          </cell>
        </row>
        <row r="24">
          <cell r="E24">
            <v>410</v>
          </cell>
        </row>
        <row r="25">
          <cell r="B25">
            <v>0</v>
          </cell>
          <cell r="E25">
            <v>400</v>
          </cell>
        </row>
        <row r="29">
          <cell r="E29">
            <v>120</v>
          </cell>
        </row>
        <row r="30">
          <cell r="E30">
            <v>430</v>
          </cell>
        </row>
        <row r="31">
          <cell r="E31">
            <v>60</v>
          </cell>
        </row>
        <row r="32">
          <cell r="E32">
            <v>165</v>
          </cell>
        </row>
        <row r="33">
          <cell r="E33">
            <v>243</v>
          </cell>
        </row>
        <row r="34">
          <cell r="E34">
            <v>105</v>
          </cell>
        </row>
        <row r="35">
          <cell r="E35">
            <v>590</v>
          </cell>
        </row>
        <row r="36">
          <cell r="E36">
            <v>205</v>
          </cell>
        </row>
        <row r="37">
          <cell r="E37">
            <v>120</v>
          </cell>
        </row>
        <row r="38">
          <cell r="E38">
            <v>139</v>
          </cell>
        </row>
        <row r="42">
          <cell r="E42">
            <v>465</v>
          </cell>
        </row>
        <row r="43">
          <cell r="E43">
            <v>5</v>
          </cell>
        </row>
        <row r="44">
          <cell r="E44">
            <v>60</v>
          </cell>
        </row>
        <row r="45">
          <cell r="E45">
            <v>306</v>
          </cell>
        </row>
        <row r="46">
          <cell r="E46">
            <v>20</v>
          </cell>
        </row>
        <row r="47">
          <cell r="E47">
            <v>15</v>
          </cell>
        </row>
        <row r="48">
          <cell r="E48">
            <v>40</v>
          </cell>
        </row>
        <row r="52">
          <cell r="E52">
            <v>5715</v>
          </cell>
        </row>
        <row r="53">
          <cell r="E53">
            <v>1830</v>
          </cell>
        </row>
        <row r="54">
          <cell r="E54">
            <v>3721</v>
          </cell>
        </row>
        <row r="55">
          <cell r="E55">
            <v>70</v>
          </cell>
        </row>
        <row r="56">
          <cell r="E56">
            <v>1540</v>
          </cell>
        </row>
        <row r="57">
          <cell r="E57">
            <v>242</v>
          </cell>
        </row>
        <row r="58">
          <cell r="E58">
            <v>555</v>
          </cell>
        </row>
        <row r="59">
          <cell r="E59">
            <v>-1336</v>
          </cell>
        </row>
        <row r="65">
          <cell r="E65">
            <v>3712</v>
          </cell>
        </row>
        <row r="66">
          <cell r="E66">
            <v>310</v>
          </cell>
        </row>
        <row r="67">
          <cell r="E67">
            <v>450</v>
          </cell>
        </row>
        <row r="68">
          <cell r="E68">
            <v>310</v>
          </cell>
        </row>
        <row r="69">
          <cell r="E69">
            <v>710</v>
          </cell>
        </row>
        <row r="70">
          <cell r="E70">
            <v>20347.019</v>
          </cell>
        </row>
        <row r="77">
          <cell r="E77">
            <v>23895</v>
          </cell>
        </row>
        <row r="78">
          <cell r="E78">
            <v>458</v>
          </cell>
        </row>
        <row r="79">
          <cell r="E79">
            <v>140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pcs08"/>
      <sheetName val="aug-10"/>
      <sheetName val="Sammanfattning"/>
    </sheetNames>
    <sheetDataSet>
      <sheetData sheetId="0"/>
      <sheetData sheetId="1"/>
      <sheetData sheetId="2">
        <row r="7">
          <cell r="F7">
            <v>764</v>
          </cell>
        </row>
        <row r="8">
          <cell r="F8">
            <v>858</v>
          </cell>
        </row>
        <row r="9">
          <cell r="F9">
            <v>0</v>
          </cell>
        </row>
        <row r="10">
          <cell r="F10">
            <v>400</v>
          </cell>
        </row>
        <row r="11">
          <cell r="F11">
            <v>424</v>
          </cell>
        </row>
        <row r="12">
          <cell r="F12">
            <v>146</v>
          </cell>
        </row>
        <row r="16">
          <cell r="F16">
            <v>765</v>
          </cell>
        </row>
        <row r="17">
          <cell r="F17">
            <v>221</v>
          </cell>
        </row>
        <row r="18">
          <cell r="F18">
            <v>0</v>
          </cell>
        </row>
        <row r="19">
          <cell r="F19">
            <v>2533</v>
          </cell>
        </row>
        <row r="20">
          <cell r="F20">
            <v>665</v>
          </cell>
        </row>
        <row r="21">
          <cell r="F21">
            <v>39</v>
          </cell>
        </row>
        <row r="22">
          <cell r="F22">
            <v>350</v>
          </cell>
        </row>
        <row r="23">
          <cell r="F23">
            <v>40</v>
          </cell>
        </row>
        <row r="24">
          <cell r="F24">
            <v>415</v>
          </cell>
        </row>
        <row r="25">
          <cell r="F25">
            <v>252</v>
          </cell>
        </row>
        <row r="29">
          <cell r="F29">
            <v>82</v>
          </cell>
        </row>
        <row r="30">
          <cell r="F30">
            <v>388</v>
          </cell>
        </row>
        <row r="31">
          <cell r="F31">
            <v>60</v>
          </cell>
        </row>
        <row r="32">
          <cell r="F32">
            <v>173</v>
          </cell>
        </row>
        <row r="33">
          <cell r="F33">
            <v>225</v>
          </cell>
        </row>
        <row r="34">
          <cell r="F34">
            <v>101</v>
          </cell>
        </row>
        <row r="35">
          <cell r="F35">
            <v>578</v>
          </cell>
        </row>
        <row r="36">
          <cell r="F36">
            <v>178</v>
          </cell>
        </row>
        <row r="37">
          <cell r="F37">
            <v>132</v>
          </cell>
        </row>
        <row r="38">
          <cell r="F38">
            <v>158</v>
          </cell>
        </row>
        <row r="42">
          <cell r="F42">
            <v>327</v>
          </cell>
        </row>
        <row r="43">
          <cell r="F43">
            <v>0</v>
          </cell>
        </row>
        <row r="44">
          <cell r="F44">
            <v>52</v>
          </cell>
        </row>
        <row r="45">
          <cell r="F45">
            <v>269</v>
          </cell>
        </row>
        <row r="46">
          <cell r="F46">
            <v>20</v>
          </cell>
        </row>
        <row r="47">
          <cell r="F47">
            <v>15</v>
          </cell>
        </row>
        <row r="48">
          <cell r="F48">
            <v>40</v>
          </cell>
        </row>
        <row r="52">
          <cell r="F52">
            <v>5638</v>
          </cell>
        </row>
        <row r="53">
          <cell r="F53">
            <v>1830</v>
          </cell>
        </row>
        <row r="54">
          <cell r="F54">
            <v>3621</v>
          </cell>
        </row>
        <row r="55">
          <cell r="F55">
            <v>70</v>
          </cell>
        </row>
        <row r="56">
          <cell r="F56">
            <v>1590</v>
          </cell>
        </row>
        <row r="57">
          <cell r="F57">
            <v>253</v>
          </cell>
        </row>
        <row r="58">
          <cell r="F58">
            <v>500</v>
          </cell>
        </row>
        <row r="59">
          <cell r="F59">
            <v>-1312</v>
          </cell>
        </row>
        <row r="65">
          <cell r="F65">
            <v>3794</v>
          </cell>
        </row>
        <row r="66">
          <cell r="F66">
            <v>375</v>
          </cell>
        </row>
        <row r="67">
          <cell r="F67">
            <v>475</v>
          </cell>
        </row>
        <row r="68">
          <cell r="F68">
            <v>340</v>
          </cell>
        </row>
        <row r="69">
          <cell r="F69">
            <v>560</v>
          </cell>
        </row>
        <row r="70">
          <cell r="F70">
            <v>20624</v>
          </cell>
        </row>
        <row r="77">
          <cell r="F77">
            <v>24745</v>
          </cell>
        </row>
        <row r="78">
          <cell r="F78">
            <v>458</v>
          </cell>
        </row>
        <row r="79">
          <cell r="F79">
            <v>195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printerSettings" Target="../printerSettings/printerSettings8.bin"/><Relationship Id="rId7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O99"/>
  <sheetViews>
    <sheetView showGridLines="0" zoomScaleNormal="100" workbookViewId="0">
      <selection activeCell="H30" sqref="H30"/>
    </sheetView>
  </sheetViews>
  <sheetFormatPr defaultRowHeight="12.75"/>
  <cols>
    <col min="1" max="1" width="6" style="4" customWidth="1"/>
    <col min="2" max="2" width="17" style="4" customWidth="1"/>
    <col min="3" max="3" width="11.33203125" style="4" customWidth="1"/>
    <col min="4" max="4" width="10.1640625" style="4" customWidth="1"/>
    <col min="5" max="6" width="10.5" style="4" customWidth="1"/>
    <col min="7" max="7" width="13" style="4" customWidth="1"/>
    <col min="8" max="9" width="12.83203125" style="4" customWidth="1"/>
    <col min="10" max="10" width="9.83203125" style="14" bestFit="1" customWidth="1"/>
    <col min="11" max="11" width="11" style="4" customWidth="1"/>
    <col min="12" max="12" width="12.6640625" style="4" customWidth="1"/>
    <col min="13" max="13" width="3.33203125" style="4" customWidth="1"/>
    <col min="14" max="14" width="13" style="4" bestFit="1" customWidth="1"/>
    <col min="15" max="16384" width="9.33203125" style="4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2"/>
      <c r="K1" s="3" t="s">
        <v>0</v>
      </c>
    </row>
    <row r="2" spans="1:15" ht="18">
      <c r="A2" s="5" t="s">
        <v>159</v>
      </c>
      <c r="B2" s="5"/>
      <c r="C2" s="1"/>
      <c r="D2" s="1"/>
      <c r="E2" s="1"/>
      <c r="F2" s="1"/>
      <c r="G2" s="1"/>
      <c r="H2" s="1"/>
      <c r="I2" s="1"/>
      <c r="J2" s="2"/>
      <c r="K2" s="1"/>
      <c r="L2" s="6"/>
      <c r="M2" s="1"/>
    </row>
    <row r="3" spans="1:15" ht="18">
      <c r="A3" s="5"/>
      <c r="B3" s="5"/>
      <c r="C3" s="1"/>
      <c r="D3" s="1"/>
      <c r="E3" s="1"/>
      <c r="F3" s="1"/>
      <c r="G3" s="1"/>
      <c r="H3" s="1"/>
      <c r="I3" s="1"/>
      <c r="J3" s="2"/>
      <c r="K3" s="1"/>
      <c r="L3" s="6"/>
      <c r="M3" s="1"/>
    </row>
    <row r="4" spans="1:15">
      <c r="A4" s="7"/>
      <c r="B4" s="7"/>
      <c r="C4" s="8"/>
      <c r="D4" s="9"/>
      <c r="E4" s="9"/>
      <c r="F4" s="9"/>
      <c r="G4" s="9"/>
      <c r="H4" s="9"/>
      <c r="I4" s="9"/>
      <c r="J4" s="10"/>
      <c r="K4" s="9"/>
      <c r="L4" s="9"/>
      <c r="M4" s="1"/>
    </row>
    <row r="5" spans="1:15">
      <c r="A5" s="11"/>
      <c r="B5" s="11"/>
      <c r="C5" s="9"/>
      <c r="D5" s="12"/>
      <c r="E5" s="12"/>
      <c r="F5" s="12"/>
      <c r="G5" s="12"/>
      <c r="H5" s="9"/>
      <c r="I5" s="9"/>
      <c r="J5" s="13"/>
      <c r="K5" s="9"/>
      <c r="L5" s="9"/>
      <c r="M5" s="1"/>
    </row>
    <row r="6" spans="1:15" ht="45" customHeight="1">
      <c r="A6" s="296"/>
      <c r="B6" s="283"/>
      <c r="C6" s="265" t="s">
        <v>131</v>
      </c>
      <c r="D6" s="265" t="s">
        <v>132</v>
      </c>
      <c r="E6" s="265" t="s">
        <v>153</v>
      </c>
      <c r="F6" s="265" t="s">
        <v>155</v>
      </c>
      <c r="G6" s="265" t="s">
        <v>156</v>
      </c>
      <c r="H6" s="266" t="s">
        <v>133</v>
      </c>
      <c r="I6" s="266" t="s">
        <v>142</v>
      </c>
      <c r="J6" s="267" t="s">
        <v>103</v>
      </c>
      <c r="K6" s="267" t="s">
        <v>134</v>
      </c>
      <c r="L6" s="1"/>
    </row>
    <row r="7" spans="1:15" ht="4.5" customHeight="1">
      <c r="A7" s="297"/>
      <c r="B7" s="205"/>
      <c r="C7" s="198"/>
      <c r="D7" s="199"/>
      <c r="E7" s="199"/>
      <c r="F7" s="199"/>
      <c r="G7" s="199"/>
      <c r="H7" s="201"/>
      <c r="I7" s="201"/>
      <c r="J7" s="199"/>
      <c r="K7" s="200"/>
      <c r="L7" s="1"/>
    </row>
    <row r="8" spans="1:15">
      <c r="A8" s="298" t="s">
        <v>42</v>
      </c>
      <c r="B8" s="284"/>
      <c r="C8" s="198"/>
      <c r="D8" s="199"/>
      <c r="E8" s="199"/>
      <c r="F8" s="199"/>
      <c r="G8" s="199"/>
      <c r="H8" s="201"/>
      <c r="I8" s="201"/>
      <c r="J8" s="199"/>
      <c r="K8" s="200"/>
      <c r="L8" s="1"/>
    </row>
    <row r="9" spans="1:15">
      <c r="A9" s="297" t="s">
        <v>1</v>
      </c>
      <c r="B9" s="205"/>
      <c r="C9" s="202">
        <f>SUM('Intäkter bil 2'!B12)</f>
        <v>16227.08</v>
      </c>
      <c r="D9" s="203">
        <v>19510</v>
      </c>
      <c r="E9" s="203">
        <f>'Intäkter bil 2'!D12</f>
        <v>19265</v>
      </c>
      <c r="F9" s="203">
        <f>SUM('Intäkter bil 2'!E12)</f>
        <v>19355</v>
      </c>
      <c r="G9" s="354">
        <f>SUM(C9/D9)</f>
        <v>0.83173141978472576</v>
      </c>
      <c r="H9" s="203">
        <v>14854</v>
      </c>
      <c r="I9" s="203">
        <v>17945</v>
      </c>
      <c r="J9" s="203">
        <v>17985</v>
      </c>
      <c r="K9" s="204">
        <f>+(C9-H9)/H9</f>
        <v>9.2438400430860365E-2</v>
      </c>
      <c r="L9" s="2"/>
    </row>
    <row r="10" spans="1:15">
      <c r="A10" s="297" t="s">
        <v>101</v>
      </c>
      <c r="B10" s="205"/>
      <c r="C10" s="202">
        <f>SUM('Intäkter bil 2'!B28)</f>
        <v>38322.781820000004</v>
      </c>
      <c r="D10" s="203">
        <v>53095</v>
      </c>
      <c r="E10" s="203">
        <f>'Intäkter bil 2'!D28</f>
        <v>63885.62092999999</v>
      </c>
      <c r="F10" s="203">
        <f>SUM('Intäkter bil 2'!E28)</f>
        <v>65019.5</v>
      </c>
      <c r="G10" s="354">
        <f t="shared" ref="G10:G24" si="0">SUM(C10/D10)</f>
        <v>0.72177760278745651</v>
      </c>
      <c r="H10" s="203">
        <v>36217</v>
      </c>
      <c r="I10" s="203">
        <v>53088</v>
      </c>
      <c r="J10" s="203">
        <v>47980</v>
      </c>
      <c r="K10" s="204">
        <f>+(C10-H10)/H10</f>
        <v>5.8143463566833357E-2</v>
      </c>
      <c r="L10" s="1"/>
    </row>
    <row r="11" spans="1:15">
      <c r="A11" s="297" t="s">
        <v>2</v>
      </c>
      <c r="B11" s="205"/>
      <c r="C11" s="202">
        <f>SUM('Intäkter bil 2'!B39)</f>
        <v>666.61824000000001</v>
      </c>
      <c r="D11" s="203">
        <v>1070</v>
      </c>
      <c r="E11" s="203">
        <f>'Intäkter bil 2'!D39</f>
        <v>856</v>
      </c>
      <c r="F11" s="203">
        <f>SUM('Intäkter bil 2'!E39)</f>
        <v>825</v>
      </c>
      <c r="G11" s="354">
        <f t="shared" si="0"/>
        <v>0.62300770093457947</v>
      </c>
      <c r="H11" s="203">
        <v>789</v>
      </c>
      <c r="I11" s="203">
        <v>1015</v>
      </c>
      <c r="J11" s="203">
        <v>1500</v>
      </c>
      <c r="K11" s="204">
        <f>+(C11-H11)/H11</f>
        <v>-0.15510996197718629</v>
      </c>
      <c r="L11" s="1"/>
    </row>
    <row r="12" spans="1:15">
      <c r="A12" s="63" t="s">
        <v>102</v>
      </c>
      <c r="B12" s="229"/>
      <c r="C12" s="246">
        <f>SUM('Intäkter bil 2'!B43)</f>
        <v>222.74375000000001</v>
      </c>
      <c r="D12" s="239">
        <v>0</v>
      </c>
      <c r="E12" s="236">
        <f>'Intäkter bil 2'!D43</f>
        <v>813</v>
      </c>
      <c r="F12" s="236">
        <f>SUM('Intäkter bil 2'!E43)</f>
        <v>665</v>
      </c>
      <c r="G12" s="354" t="e">
        <f t="shared" si="0"/>
        <v>#DIV/0!</v>
      </c>
      <c r="H12" s="236">
        <f>SUM('Intäkter bil 2'!G43)</f>
        <v>0</v>
      </c>
      <c r="I12" s="236">
        <v>0</v>
      </c>
      <c r="J12" s="239">
        <v>0</v>
      </c>
      <c r="K12" s="204">
        <v>0</v>
      </c>
    </row>
    <row r="13" spans="1:15">
      <c r="A13" s="297" t="s">
        <v>24</v>
      </c>
      <c r="B13" s="205"/>
      <c r="C13" s="202">
        <f>SUM('Intäkter bil 2'!B48)</f>
        <v>0.13600000000000001</v>
      </c>
      <c r="D13" s="203">
        <v>320</v>
      </c>
      <c r="E13" s="203">
        <f>'Intäkter bil 2'!D48</f>
        <v>470</v>
      </c>
      <c r="F13" s="203">
        <f>SUM('Intäkter bil 2'!E48)</f>
        <v>460</v>
      </c>
      <c r="G13" s="354">
        <f t="shared" si="0"/>
        <v>4.2500000000000003E-4</v>
      </c>
      <c r="H13" s="203">
        <v>12.8</v>
      </c>
      <c r="I13" s="203">
        <v>571</v>
      </c>
      <c r="J13" s="216">
        <v>320</v>
      </c>
      <c r="K13" s="204">
        <f>+(C13-H13)/H13</f>
        <v>-0.98937500000000012</v>
      </c>
      <c r="L13" s="1"/>
    </row>
    <row r="14" spans="1:15" ht="4.5" customHeight="1">
      <c r="A14" s="297"/>
      <c r="B14" s="205"/>
      <c r="C14" s="202"/>
      <c r="D14" s="205"/>
      <c r="E14" s="205"/>
      <c r="F14" s="205"/>
      <c r="G14" s="354"/>
      <c r="H14" s="206"/>
      <c r="I14" s="206"/>
      <c r="J14" s="205"/>
      <c r="K14" s="207"/>
      <c r="L14" s="1"/>
    </row>
    <row r="15" spans="1:15">
      <c r="A15" s="299" t="s">
        <v>3</v>
      </c>
      <c r="B15" s="285"/>
      <c r="C15" s="208">
        <f>SUM(C9:C14)</f>
        <v>55439.359810000009</v>
      </c>
      <c r="D15" s="209">
        <f>SUM(D9:D14)</f>
        <v>73995</v>
      </c>
      <c r="E15" s="209">
        <f>SUM(E9:E14)</f>
        <v>85289.62092999999</v>
      </c>
      <c r="F15" s="209">
        <f>SUM(F9:F14)</f>
        <v>86324.5</v>
      </c>
      <c r="G15" s="355">
        <f>SUM(C15/D15)</f>
        <v>0.74923116170011494</v>
      </c>
      <c r="H15" s="209">
        <f>SUM(H9:H14)</f>
        <v>51872.800000000003</v>
      </c>
      <c r="I15" s="209">
        <f>SUM(I9:I14)</f>
        <v>72619</v>
      </c>
      <c r="J15" s="209">
        <f>SUM(J9:J14)</f>
        <v>67785</v>
      </c>
      <c r="K15" s="19">
        <f>+(C15-H15)/H15</f>
        <v>6.8755876104625274E-2</v>
      </c>
      <c r="L15" s="2"/>
      <c r="M15" s="14"/>
    </row>
    <row r="16" spans="1:15" ht="4.5" customHeight="1">
      <c r="A16" s="298"/>
      <c r="B16" s="284"/>
      <c r="C16" s="210"/>
      <c r="D16" s="211"/>
      <c r="E16" s="211"/>
      <c r="F16" s="211"/>
      <c r="G16" s="354"/>
      <c r="H16" s="211"/>
      <c r="I16" s="211"/>
      <c r="J16" s="212"/>
      <c r="K16" s="213"/>
      <c r="L16" s="1"/>
      <c r="O16" s="14"/>
    </row>
    <row r="17" spans="1:14">
      <c r="A17" s="298" t="s">
        <v>4</v>
      </c>
      <c r="B17" s="284"/>
      <c r="C17" s="214"/>
      <c r="D17" s="205"/>
      <c r="E17" s="205"/>
      <c r="F17" s="205"/>
      <c r="G17" s="354"/>
      <c r="H17" s="206"/>
      <c r="I17" s="206"/>
      <c r="J17" s="205"/>
      <c r="K17" s="215"/>
      <c r="L17" s="1"/>
    </row>
    <row r="18" spans="1:14">
      <c r="A18" s="297" t="s">
        <v>5</v>
      </c>
      <c r="B18" s="205"/>
      <c r="C18" s="202">
        <f>SUM('Kostnader bil 3'!B86)</f>
        <v>16432.868999999999</v>
      </c>
      <c r="D18" s="203">
        <v>23323</v>
      </c>
      <c r="E18" s="203">
        <f>'Kostnader bil 3'!E86</f>
        <v>23366</v>
      </c>
      <c r="F18" s="203">
        <f>SUM('Kostnader bil 3'!F86)</f>
        <v>22860</v>
      </c>
      <c r="G18" s="354">
        <f t="shared" si="0"/>
        <v>0.70457784161557258</v>
      </c>
      <c r="H18" s="206">
        <v>16936.7</v>
      </c>
      <c r="I18" s="206">
        <v>22374</v>
      </c>
      <c r="J18" s="206">
        <v>23288</v>
      </c>
      <c r="K18" s="204">
        <f>+(C18-H18)/H18</f>
        <v>-2.9747884770941323E-2</v>
      </c>
      <c r="L18" s="1"/>
    </row>
    <row r="19" spans="1:14">
      <c r="A19" s="297" t="s">
        <v>41</v>
      </c>
      <c r="B19" s="205"/>
      <c r="C19" s="202">
        <f>'Kostnader bil 3'!B87</f>
        <v>4762.9409999999989</v>
      </c>
      <c r="D19" s="203">
        <v>5362</v>
      </c>
      <c r="E19" s="203">
        <f>'Kostnader bil 3'!E87</f>
        <v>5492</v>
      </c>
      <c r="F19" s="203">
        <f>SUM('Kostnader bil 3'!F87)</f>
        <v>5544</v>
      </c>
      <c r="G19" s="354">
        <f t="shared" si="0"/>
        <v>0.88827694889966413</v>
      </c>
      <c r="H19" s="206">
        <v>4787.7</v>
      </c>
      <c r="I19" s="206">
        <v>5557</v>
      </c>
      <c r="J19" s="206">
        <v>5114</v>
      </c>
      <c r="K19" s="204">
        <f>+(C19-H19)/H19</f>
        <v>-5.171376652672666E-3</v>
      </c>
      <c r="L19" s="1"/>
    </row>
    <row r="20" spans="1:14">
      <c r="A20" s="297" t="s">
        <v>6</v>
      </c>
      <c r="B20" s="205"/>
      <c r="C20" s="202">
        <f>'Kostnader bil 3'!B88</f>
        <v>16643.910000000003</v>
      </c>
      <c r="D20" s="203">
        <v>20635</v>
      </c>
      <c r="E20" s="203">
        <f>'Kostnader bil 3'!E88</f>
        <v>20347.019</v>
      </c>
      <c r="F20" s="203">
        <f>SUM('Kostnader bil 3'!F88)</f>
        <v>20624</v>
      </c>
      <c r="G20" s="354">
        <f t="shared" si="0"/>
        <v>0.80658638236006797</v>
      </c>
      <c r="H20" s="206">
        <v>14496</v>
      </c>
      <c r="I20" s="206">
        <v>17979</v>
      </c>
      <c r="J20" s="206">
        <v>18341</v>
      </c>
      <c r="K20" s="204">
        <f>+(C20-H20)/H20</f>
        <v>0.1481725993377486</v>
      </c>
      <c r="L20" s="1"/>
    </row>
    <row r="21" spans="1:14">
      <c r="A21" s="298" t="s">
        <v>7</v>
      </c>
      <c r="B21" s="284"/>
      <c r="C21" s="210">
        <f>'Kostnader bil 3'!B89</f>
        <v>37839.72</v>
      </c>
      <c r="D21" s="211">
        <f>SUM(D18:D20)</f>
        <v>49320</v>
      </c>
      <c r="E21" s="211">
        <f>'Kostnader bil 3'!E89</f>
        <v>49205.019</v>
      </c>
      <c r="F21" s="211">
        <f>SUM(F18:F20)</f>
        <v>49028</v>
      </c>
      <c r="G21" s="354">
        <f t="shared" si="0"/>
        <v>0.76722871046228713</v>
      </c>
      <c r="H21" s="217">
        <f>SUM(H18:H20)</f>
        <v>36220.400000000001</v>
      </c>
      <c r="I21" s="217">
        <f>SUM(I18:I20)</f>
        <v>45910</v>
      </c>
      <c r="J21" s="217">
        <f>SUM(J18:J20)</f>
        <v>46743</v>
      </c>
      <c r="K21" s="204">
        <f>+(C21-H21)/H21</f>
        <v>4.4707402458283169E-2</v>
      </c>
      <c r="L21" s="1"/>
    </row>
    <row r="22" spans="1:14">
      <c r="A22" s="298" t="s">
        <v>95</v>
      </c>
      <c r="B22" s="284"/>
      <c r="C22" s="210">
        <f>'Kostnader bil 3'!B90</f>
        <v>21485.743000000002</v>
      </c>
      <c r="D22" s="211">
        <v>24675</v>
      </c>
      <c r="E22" s="211">
        <f>'Kostnader bil 3'!E90</f>
        <v>24493</v>
      </c>
      <c r="F22" s="211">
        <f>SUM('Kostnader bil 3'!F90)</f>
        <v>25398</v>
      </c>
      <c r="G22" s="354">
        <f t="shared" si="0"/>
        <v>0.87074946301925038</v>
      </c>
      <c r="H22" s="217">
        <v>15929</v>
      </c>
      <c r="I22" s="217">
        <v>24287</v>
      </c>
      <c r="J22" s="217">
        <v>19134</v>
      </c>
      <c r="K22" s="242">
        <f>+(C22-H22)/H22</f>
        <v>0.3488444346788877</v>
      </c>
      <c r="L22" s="1"/>
    </row>
    <row r="23" spans="1:14" ht="4.5" customHeight="1">
      <c r="A23" s="297"/>
      <c r="B23" s="205"/>
      <c r="C23" s="202"/>
      <c r="D23" s="203"/>
      <c r="E23" s="203"/>
      <c r="F23" s="203"/>
      <c r="G23" s="354"/>
      <c r="H23" s="206"/>
      <c r="I23" s="206"/>
      <c r="J23" s="206"/>
      <c r="K23" s="207"/>
      <c r="L23" s="1"/>
    </row>
    <row r="24" spans="1:14">
      <c r="A24" s="16" t="s">
        <v>8</v>
      </c>
      <c r="B24" s="16"/>
      <c r="C24" s="17">
        <f>C21+C22</f>
        <v>59325.463000000003</v>
      </c>
      <c r="D24" s="18">
        <f>+D21+D22</f>
        <v>73995</v>
      </c>
      <c r="E24" s="18">
        <f>+E21+E22</f>
        <v>73698.019</v>
      </c>
      <c r="F24" s="18">
        <f>+F21+F22</f>
        <v>74426</v>
      </c>
      <c r="G24" s="355">
        <f t="shared" si="0"/>
        <v>0.80174961821744717</v>
      </c>
      <c r="H24" s="18">
        <f>SUM(H21:H23)</f>
        <v>52149.4</v>
      </c>
      <c r="I24" s="18">
        <f>SUM(I21:I22)</f>
        <v>70197</v>
      </c>
      <c r="J24" s="18">
        <f>+J21+J22</f>
        <v>65877</v>
      </c>
      <c r="K24" s="19">
        <f>+(C24-H24)/H24</f>
        <v>0.13760585931957034</v>
      </c>
      <c r="L24" s="2"/>
      <c r="M24" s="15"/>
      <c r="N24" s="14"/>
    </row>
    <row r="25" spans="1:14">
      <c r="A25" s="218"/>
      <c r="B25" s="218"/>
      <c r="C25" s="219"/>
      <c r="D25" s="220"/>
      <c r="E25" s="220"/>
      <c r="F25" s="220"/>
      <c r="G25" s="354"/>
      <c r="H25" s="221"/>
      <c r="I25" s="221"/>
      <c r="J25" s="221"/>
      <c r="K25" s="222"/>
      <c r="L25" s="1"/>
      <c r="M25" s="14"/>
    </row>
    <row r="26" spans="1:14">
      <c r="A26" s="16" t="s">
        <v>9</v>
      </c>
      <c r="B26" s="285"/>
      <c r="C26" s="17">
        <f>+C15-C24</f>
        <v>-3886.1031899999944</v>
      </c>
      <c r="D26" s="18">
        <f>+D15-D24</f>
        <v>0</v>
      </c>
      <c r="E26" s="18">
        <f>+E15-E24</f>
        <v>11591.60192999999</v>
      </c>
      <c r="F26" s="18">
        <f>+F15-F24</f>
        <v>11898.5</v>
      </c>
      <c r="G26" s="355" t="e">
        <f>SUM(C26/D26)</f>
        <v>#DIV/0!</v>
      </c>
      <c r="H26" s="18">
        <f>+H15-H24</f>
        <v>-276.59999999999854</v>
      </c>
      <c r="I26" s="18">
        <f>SUM(I15-I24)</f>
        <v>2422</v>
      </c>
      <c r="J26" s="18">
        <f>+J15-J24</f>
        <v>1908</v>
      </c>
      <c r="K26" s="19">
        <f>+(C26-H26)/H26</f>
        <v>13.049541540130205</v>
      </c>
      <c r="L26" s="1"/>
    </row>
    <row r="27" spans="1:14">
      <c r="A27" s="223"/>
      <c r="B27" s="223"/>
      <c r="C27" s="219"/>
      <c r="D27" s="220"/>
      <c r="E27" s="220"/>
      <c r="F27" s="220"/>
      <c r="G27" s="220"/>
      <c r="H27" s="224"/>
      <c r="I27" s="224"/>
      <c r="J27" s="220"/>
      <c r="K27" s="220"/>
      <c r="L27" s="222"/>
      <c r="M27" s="1"/>
    </row>
    <row r="28" spans="1:14">
      <c r="A28" s="225" t="s">
        <v>86</v>
      </c>
      <c r="B28" s="225"/>
      <c r="C28" s="219"/>
      <c r="D28" s="220"/>
      <c r="E28" s="220"/>
      <c r="F28" s="220"/>
      <c r="G28" s="220"/>
      <c r="H28" s="224"/>
      <c r="I28" s="224"/>
      <c r="J28" s="220"/>
      <c r="K28" s="220"/>
      <c r="L28" s="222"/>
      <c r="M28" s="1"/>
    </row>
    <row r="29" spans="1:14">
      <c r="A29" s="226"/>
      <c r="B29" s="226"/>
      <c r="C29" s="227"/>
      <c r="D29" s="226"/>
      <c r="E29" s="226"/>
      <c r="F29" s="226"/>
      <c r="G29" s="226"/>
      <c r="H29" s="226"/>
      <c r="I29" s="226"/>
      <c r="J29" s="227"/>
      <c r="K29" s="226"/>
      <c r="L29" s="226"/>
      <c r="M29" s="1"/>
      <c r="N29" s="14"/>
    </row>
    <row r="30" spans="1:14">
      <c r="A30" s="35"/>
      <c r="B30" s="357"/>
      <c r="C30" s="227"/>
      <c r="D30" s="226"/>
      <c r="E30" s="226"/>
      <c r="F30" s="226"/>
      <c r="G30" s="226"/>
      <c r="H30" s="226"/>
      <c r="I30" s="226"/>
      <c r="J30" s="227"/>
      <c r="K30" s="226"/>
      <c r="L30" s="226"/>
      <c r="M30" s="1"/>
    </row>
    <row r="31" spans="1:14">
      <c r="A31" s="228"/>
      <c r="B31" s="228"/>
      <c r="C31" s="227"/>
      <c r="D31" s="226"/>
      <c r="E31" s="226"/>
      <c r="F31" s="226"/>
      <c r="G31" s="226"/>
      <c r="H31" s="226"/>
      <c r="I31" s="226"/>
      <c r="J31" s="227"/>
      <c r="K31" s="226"/>
      <c r="L31" s="226"/>
      <c r="M31" s="1"/>
    </row>
    <row r="32" spans="1:14" ht="9.75" customHeight="1">
      <c r="A32" s="288"/>
      <c r="B32" s="300"/>
      <c r="C32" s="218"/>
      <c r="D32" s="218"/>
      <c r="E32" s="218"/>
      <c r="F32" s="41"/>
      <c r="G32" s="41"/>
      <c r="H32" s="218"/>
      <c r="I32" s="218"/>
      <c r="J32" s="218"/>
      <c r="K32" s="289"/>
      <c r="L32" s="218"/>
      <c r="M32" s="1"/>
    </row>
    <row r="33" spans="1:12" ht="12.75" customHeight="1">
      <c r="B33" s="382" t="s">
        <v>124</v>
      </c>
      <c r="C33" s="383"/>
      <c r="D33" s="383"/>
      <c r="E33" s="383"/>
      <c r="F33" s="384"/>
      <c r="G33" s="344"/>
      <c r="H33" s="344"/>
      <c r="I33" s="344"/>
      <c r="J33" s="90"/>
      <c r="K33" s="41"/>
      <c r="L33" s="41"/>
    </row>
    <row r="34" spans="1:12" ht="3" customHeight="1">
      <c r="A34" s="286"/>
      <c r="B34" s="273"/>
      <c r="C34" s="274"/>
      <c r="D34" s="274"/>
      <c r="E34" s="274"/>
      <c r="F34" s="290"/>
      <c r="G34" s="274"/>
      <c r="H34" s="274"/>
      <c r="I34" s="274"/>
      <c r="J34" s="90"/>
      <c r="K34" s="41"/>
      <c r="L34" s="41"/>
    </row>
    <row r="35" spans="1:12" ht="10.5" customHeight="1">
      <c r="A35" s="287"/>
      <c r="B35" s="275"/>
      <c r="C35" s="276" t="s">
        <v>10</v>
      </c>
      <c r="D35" s="276" t="s">
        <v>11</v>
      </c>
      <c r="E35" s="277" t="s">
        <v>12</v>
      </c>
      <c r="F35" s="291"/>
      <c r="G35" s="276"/>
      <c r="H35" s="276"/>
      <c r="I35" s="91"/>
      <c r="J35" s="230"/>
      <c r="K35" s="41"/>
    </row>
    <row r="36" spans="1:12" ht="10.5" customHeight="1">
      <c r="A36" s="93"/>
      <c r="B36" s="278">
        <v>2001</v>
      </c>
      <c r="C36" s="279">
        <v>1440</v>
      </c>
      <c r="D36" s="279">
        <v>3595</v>
      </c>
      <c r="E36" s="280">
        <f t="shared" ref="E36:E44" si="1">+C36-D36</f>
        <v>-2155</v>
      </c>
      <c r="F36" s="98"/>
      <c r="G36" s="280"/>
      <c r="H36" s="280"/>
      <c r="I36" s="91"/>
      <c r="J36" s="231"/>
      <c r="K36" s="41"/>
    </row>
    <row r="37" spans="1:12" ht="10.5" customHeight="1">
      <c r="A37" s="93"/>
      <c r="B37" s="278">
        <v>2002</v>
      </c>
      <c r="C37" s="279">
        <v>2546</v>
      </c>
      <c r="D37" s="281">
        <v>3015</v>
      </c>
      <c r="E37" s="280">
        <f t="shared" si="1"/>
        <v>-469</v>
      </c>
      <c r="F37" s="98"/>
      <c r="G37" s="280"/>
      <c r="H37" s="280"/>
      <c r="I37" s="91"/>
      <c r="J37" s="231"/>
      <c r="K37" s="90"/>
    </row>
    <row r="38" spans="1:12" ht="10.5" customHeight="1">
      <c r="A38" s="93"/>
      <c r="B38" s="278">
        <v>2003</v>
      </c>
      <c r="C38" s="281">
        <v>3586</v>
      </c>
      <c r="D38" s="281">
        <v>2383</v>
      </c>
      <c r="E38" s="280">
        <f t="shared" si="1"/>
        <v>1203</v>
      </c>
      <c r="F38" s="98"/>
      <c r="G38" s="280"/>
      <c r="H38" s="280"/>
      <c r="I38" s="91"/>
      <c r="J38" s="231"/>
      <c r="K38" s="90"/>
    </row>
    <row r="39" spans="1:12" ht="10.5" customHeight="1">
      <c r="A39" s="93"/>
      <c r="B39" s="278">
        <v>2004</v>
      </c>
      <c r="C39" s="282">
        <v>1889</v>
      </c>
      <c r="D39" s="279">
        <v>2523</v>
      </c>
      <c r="E39" s="280">
        <f t="shared" si="1"/>
        <v>-634</v>
      </c>
      <c r="F39" s="98"/>
      <c r="G39" s="280"/>
      <c r="H39" s="280"/>
      <c r="I39" s="91"/>
      <c r="J39" s="231"/>
      <c r="K39" s="41"/>
    </row>
    <row r="40" spans="1:12" ht="10.5" customHeight="1">
      <c r="A40" s="93"/>
      <c r="B40" s="278">
        <v>2005</v>
      </c>
      <c r="C40" s="282">
        <v>2577</v>
      </c>
      <c r="D40" s="279">
        <v>2817</v>
      </c>
      <c r="E40" s="280">
        <f t="shared" si="1"/>
        <v>-240</v>
      </c>
      <c r="F40" s="98"/>
      <c r="G40" s="280"/>
      <c r="H40" s="280"/>
      <c r="I40" s="91"/>
      <c r="J40" s="231"/>
      <c r="K40" s="41"/>
    </row>
    <row r="41" spans="1:12" ht="10.5" customHeight="1">
      <c r="A41" s="93"/>
      <c r="B41" s="278">
        <v>2006</v>
      </c>
      <c r="C41" s="282">
        <v>3102</v>
      </c>
      <c r="D41" s="279">
        <v>3461</v>
      </c>
      <c r="E41" s="280">
        <f t="shared" si="1"/>
        <v>-359</v>
      </c>
      <c r="F41" s="98"/>
      <c r="G41" s="280"/>
      <c r="H41" s="280"/>
      <c r="I41" s="91"/>
      <c r="J41" s="231"/>
      <c r="K41" s="41"/>
    </row>
    <row r="42" spans="1:12" ht="10.5" customHeight="1">
      <c r="A42" s="93"/>
      <c r="B42" s="278">
        <v>2007</v>
      </c>
      <c r="C42" s="282">
        <v>3622</v>
      </c>
      <c r="D42" s="279">
        <v>3943</v>
      </c>
      <c r="E42" s="280">
        <f t="shared" si="1"/>
        <v>-321</v>
      </c>
      <c r="F42" s="98"/>
      <c r="G42" s="280"/>
      <c r="H42" s="280"/>
      <c r="I42" s="91"/>
      <c r="J42" s="231"/>
      <c r="K42" s="41"/>
    </row>
    <row r="43" spans="1:12" ht="10.5" customHeight="1">
      <c r="A43" s="93"/>
      <c r="B43" s="278">
        <v>2008</v>
      </c>
      <c r="C43" s="280">
        <v>4334</v>
      </c>
      <c r="D43" s="280">
        <v>5314</v>
      </c>
      <c r="E43" s="280">
        <f t="shared" si="1"/>
        <v>-980</v>
      </c>
      <c r="F43" s="292"/>
      <c r="G43" s="345"/>
      <c r="H43" s="345"/>
      <c r="I43" s="91"/>
      <c r="J43" s="41"/>
      <c r="K43" s="41"/>
    </row>
    <row r="44" spans="1:12" ht="10.5" customHeight="1">
      <c r="A44" s="93"/>
      <c r="B44" s="278">
        <v>2009</v>
      </c>
      <c r="C44" s="280">
        <v>9146</v>
      </c>
      <c r="D44" s="280">
        <v>6062</v>
      </c>
      <c r="E44" s="280">
        <f t="shared" si="1"/>
        <v>3084</v>
      </c>
      <c r="F44" s="290"/>
      <c r="G44" s="274"/>
      <c r="H44" s="274"/>
      <c r="I44" s="91"/>
      <c r="J44" s="41"/>
      <c r="K44" s="41"/>
    </row>
    <row r="45" spans="1:12" ht="10.5" customHeight="1">
      <c r="A45" s="93"/>
      <c r="B45" s="293">
        <v>2010</v>
      </c>
      <c r="C45" s="294">
        <v>10129</v>
      </c>
      <c r="D45" s="294">
        <f>10129-3886</f>
        <v>6243</v>
      </c>
      <c r="E45" s="294">
        <f>SUM(C45-D45)</f>
        <v>3886</v>
      </c>
      <c r="F45" s="295"/>
      <c r="G45" s="274"/>
      <c r="H45" s="274"/>
      <c r="I45" s="91"/>
      <c r="J45" s="90"/>
      <c r="K45" s="41"/>
    </row>
    <row r="46" spans="1:12" ht="9.75" customHeight="1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90"/>
      <c r="L46" s="90"/>
    </row>
    <row r="96" spans="6:7">
      <c r="F96" s="14"/>
      <c r="G96" s="14"/>
    </row>
    <row r="99" spans="2:2">
      <c r="B99" s="14"/>
    </row>
  </sheetData>
  <customSheetViews>
    <customSheetView guid="{763437CC-26D4-4164-810A-C9635FD11083}" showGridLines="0">
      <selection activeCell="F26" sqref="F26"/>
      <pageMargins left="0.59055118110236227" right="1.07" top="0.98425196850393704" bottom="0.78740157480314965" header="0.51181102362204722" footer="0.51181102362204722"/>
      <pageSetup paperSize="9" scale="75" orientation="portrait" r:id="rId1"/>
      <headerFooter alignWithMargins="0"/>
    </customSheetView>
    <customSheetView guid="{9C92D4E2-4DB1-4DE8-9035-495C8A323D7B}" showPageBreaks="1" showGridLines="0" showRuler="0">
      <selection activeCell="M30" sqref="M30"/>
      <pageMargins left="0.59055118110236227" right="1.07" top="0.98425196850393704" bottom="0.78740157480314965" header="0.51181102362204722" footer="0.51181102362204722"/>
      <pageSetup paperSize="9" scale="75" orientation="portrait" r:id="rId2"/>
      <headerFooter alignWithMargins="0"/>
    </customSheetView>
    <customSheetView guid="{1EDB9987-0F37-49A1-B796-5C7B79F3B490}" showPageBreaks="1" showGridLines="0" fitToPage="1" printArea="1" hiddenRows="1" showRuler="0">
      <selection activeCell="G22" sqref="G22"/>
      <pageMargins left="0.59055118110236227" right="1.07" top="0.98425196850393704" bottom="0.78740157480314965" header="0.51181102362204722" footer="0.51181102362204722"/>
      <pageSetup paperSize="9" scale="82" orientation="portrait" r:id="rId3"/>
      <headerFooter alignWithMargins="0"/>
    </customSheetView>
    <customSheetView guid="{DE0C6F0D-7C2F-4B97-AA16-0EC5D85A2B96}" showPageBreaks="1" showGridLines="0">
      <selection activeCell="R39" sqref="R39"/>
      <pageMargins left="0.59055118110236227" right="1.07" top="0.98425196850393704" bottom="0.78740157480314965" header="0.51181102362204722" footer="0.51181102362204722"/>
      <pageSetup paperSize="9" scale="75" orientation="portrait" r:id="rId4"/>
      <headerFooter alignWithMargins="0"/>
    </customSheetView>
  </customSheetViews>
  <mergeCells count="1">
    <mergeCell ref="B33:F33"/>
  </mergeCells>
  <phoneticPr fontId="21" type="noConversion"/>
  <printOptions gridLinesSet="0"/>
  <pageMargins left="0.59055118110236227" right="1.07" top="0.98425196850393704" bottom="0.78740157480314965" header="0.51181102362204722" footer="0.51181102362204722"/>
  <pageSetup paperSize="9" scale="75" orientation="portrait" r:id="rId5"/>
  <headerFooter alignWithMargins="0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>
    <pageSetUpPr fitToPage="1"/>
  </sheetPr>
  <dimension ref="A1:O136"/>
  <sheetViews>
    <sheetView showGridLines="0" zoomScaleNormal="100" zoomScaleSheetLayoutView="100" workbookViewId="0">
      <pane ySplit="7" topLeftCell="A8" activePane="bottomLeft" state="frozen"/>
      <selection pane="bottomLeft" activeCell="L41" sqref="L41"/>
    </sheetView>
  </sheetViews>
  <sheetFormatPr defaultColWidth="12" defaultRowHeight="12.75"/>
  <cols>
    <col min="1" max="1" width="24.83203125" style="4" customWidth="1"/>
    <col min="2" max="2" width="10.6640625" style="4" customWidth="1"/>
    <col min="3" max="5" width="9.5" style="4" customWidth="1"/>
    <col min="6" max="6" width="11.33203125" style="21" customWidth="1"/>
    <col min="7" max="8" width="10.33203125" style="22" customWidth="1"/>
    <col min="9" max="9" width="10.33203125" style="14" customWidth="1"/>
    <col min="10" max="10" width="11.83203125" style="27" customWidth="1"/>
    <col min="11" max="11" width="14" style="27" hidden="1" customWidth="1"/>
    <col min="12" max="12" width="12.83203125" style="4" customWidth="1"/>
    <col min="13" max="13" width="12" style="4" customWidth="1"/>
    <col min="14" max="16384" width="12" style="4"/>
  </cols>
  <sheetData>
    <row r="1" spans="1:15" ht="15" customHeight="1">
      <c r="A1" s="20"/>
      <c r="J1" s="23"/>
      <c r="K1" s="23"/>
      <c r="L1" s="233" t="s">
        <v>13</v>
      </c>
    </row>
    <row r="2" spans="1:15" ht="18" customHeight="1">
      <c r="A2" s="232" t="s">
        <v>160</v>
      </c>
      <c r="B2" s="24"/>
      <c r="C2" s="24"/>
      <c r="D2" s="24"/>
      <c r="E2" s="24"/>
      <c r="G2" s="25"/>
      <c r="H2" s="25"/>
      <c r="I2" s="26"/>
    </row>
    <row r="3" spans="1:15" ht="18" customHeight="1">
      <c r="A3" s="232"/>
      <c r="B3" s="24"/>
      <c r="C3" s="24"/>
      <c r="D3" s="24"/>
      <c r="E3" s="24"/>
      <c r="G3" s="25"/>
      <c r="H3" s="25"/>
      <c r="I3" s="26"/>
    </row>
    <row r="4" spans="1:15" ht="9" customHeight="1">
      <c r="A4" s="28"/>
      <c r="B4" s="24"/>
      <c r="C4" s="24"/>
      <c r="D4" s="24"/>
      <c r="E4" s="24"/>
      <c r="G4" s="25"/>
      <c r="H4" s="25"/>
      <c r="I4" s="26"/>
    </row>
    <row r="5" spans="1:15" ht="15" customHeight="1">
      <c r="A5" s="29"/>
      <c r="B5" s="30" t="s">
        <v>128</v>
      </c>
      <c r="C5" s="30"/>
      <c r="D5" s="30"/>
      <c r="E5" s="30"/>
      <c r="F5" s="31"/>
      <c r="G5" s="32" t="s">
        <v>104</v>
      </c>
      <c r="H5" s="32"/>
      <c r="I5" s="33"/>
      <c r="J5" s="34"/>
      <c r="K5" s="34"/>
      <c r="L5" s="35"/>
    </row>
    <row r="6" spans="1:15">
      <c r="A6" s="36" t="s">
        <v>14</v>
      </c>
      <c r="B6" s="37" t="s">
        <v>122</v>
      </c>
      <c r="C6" s="37" t="s">
        <v>81</v>
      </c>
      <c r="D6" s="37" t="s">
        <v>30</v>
      </c>
      <c r="E6" s="37" t="s">
        <v>30</v>
      </c>
      <c r="F6" s="38" t="s">
        <v>157</v>
      </c>
      <c r="G6" s="39" t="s">
        <v>122</v>
      </c>
      <c r="H6" s="39" t="s">
        <v>143</v>
      </c>
      <c r="I6" s="270" t="s">
        <v>81</v>
      </c>
      <c r="J6" s="40" t="s">
        <v>31</v>
      </c>
      <c r="K6" s="40" t="s">
        <v>31</v>
      </c>
      <c r="L6" s="324" t="s">
        <v>129</v>
      </c>
      <c r="M6" s="325" t="s">
        <v>126</v>
      </c>
    </row>
    <row r="7" spans="1:15">
      <c r="A7" s="41"/>
      <c r="B7" s="42" t="s">
        <v>123</v>
      </c>
      <c r="C7" s="43" t="s">
        <v>82</v>
      </c>
      <c r="D7" s="43" t="s">
        <v>152</v>
      </c>
      <c r="E7" s="43" t="s">
        <v>154</v>
      </c>
      <c r="F7" s="44" t="s">
        <v>158</v>
      </c>
      <c r="G7" s="45" t="s">
        <v>123</v>
      </c>
      <c r="H7" s="45" t="s">
        <v>144</v>
      </c>
      <c r="I7" s="271" t="s">
        <v>82</v>
      </c>
      <c r="J7" s="46" t="s">
        <v>145</v>
      </c>
      <c r="K7" s="46" t="s">
        <v>127</v>
      </c>
      <c r="L7" s="326" t="s">
        <v>130</v>
      </c>
      <c r="M7" s="327">
        <v>2008</v>
      </c>
    </row>
    <row r="8" spans="1:15">
      <c r="A8" s="47" t="s">
        <v>1</v>
      </c>
      <c r="B8" s="333"/>
      <c r="C8" s="251"/>
      <c r="D8" s="236"/>
      <c r="E8" s="236"/>
      <c r="F8" s="48"/>
      <c r="G8" s="264"/>
      <c r="H8" s="108"/>
      <c r="I8" s="258"/>
      <c r="J8" s="50"/>
      <c r="K8" s="50"/>
      <c r="L8" s="51"/>
      <c r="M8" s="264"/>
    </row>
    <row r="9" spans="1:15">
      <c r="A9" s="35" t="s">
        <v>15</v>
      </c>
      <c r="B9" s="245">
        <f>[1]okt10!$D$7/1000</f>
        <v>2129.4499999999998</v>
      </c>
      <c r="C9" s="236">
        <v>2100</v>
      </c>
      <c r="D9" s="236">
        <f>[2]Prognos!$D$6/1000</f>
        <v>2200</v>
      </c>
      <c r="E9" s="236">
        <f>SUM('[3]intäkter prognos-10, budget-11'!$G$7)/1000</f>
        <v>2200</v>
      </c>
      <c r="F9" s="52">
        <f>SUM(E9/C9)</f>
        <v>1.0476190476190477</v>
      </c>
      <c r="G9" s="49">
        <f>SUM([1]okt10!$I$7)/1000</f>
        <v>2081.87</v>
      </c>
      <c r="H9" s="49">
        <f>SUM([1]feb10!$J$7)/1000</f>
        <v>2423.1</v>
      </c>
      <c r="I9" s="237">
        <v>2800</v>
      </c>
      <c r="J9" s="53">
        <f>SUM(G9/H9)</f>
        <v>0.85917626181337958</v>
      </c>
      <c r="K9" s="53">
        <f>G9/H9</f>
        <v>0.85917626181337958</v>
      </c>
      <c r="L9" s="54">
        <f>SUM(B9/G9)</f>
        <v>1.0228544529677646</v>
      </c>
      <c r="M9" s="252">
        <v>3622.4392000000003</v>
      </c>
    </row>
    <row r="10" spans="1:15">
      <c r="A10" s="35" t="s">
        <v>16</v>
      </c>
      <c r="B10" s="245">
        <f>[1]okt10!$D$8/1000</f>
        <v>47.2</v>
      </c>
      <c r="C10" s="236">
        <v>80</v>
      </c>
      <c r="D10" s="236">
        <f>[2]Prognos!$D$7/1000</f>
        <v>65</v>
      </c>
      <c r="E10" s="236">
        <f>SUM('[3]intäkter prognos-10, budget-11'!$G$8)/1000</f>
        <v>55</v>
      </c>
      <c r="F10" s="52">
        <f t="shared" ref="F10:F50" si="0">SUM(E10/C10)</f>
        <v>0.6875</v>
      </c>
      <c r="G10" s="49">
        <f>SUM([1]okt10!$I$8)/1000</f>
        <v>47.51</v>
      </c>
      <c r="H10" s="49">
        <f>SUM([1]feb10!$J$8)/1000</f>
        <v>57.43</v>
      </c>
      <c r="I10" s="237">
        <v>85</v>
      </c>
      <c r="J10" s="53">
        <f t="shared" ref="J10:J50" si="1">SUM(G10/H10)</f>
        <v>0.82726797840849731</v>
      </c>
      <c r="K10" s="53">
        <f>G10/M10</f>
        <v>0.57926026355061788</v>
      </c>
      <c r="L10" s="54">
        <f>SUM(B10/G10)</f>
        <v>0.99347505788255119</v>
      </c>
      <c r="M10" s="252">
        <v>82.0184</v>
      </c>
    </row>
    <row r="11" spans="1:15">
      <c r="A11" s="35" t="s">
        <v>45</v>
      </c>
      <c r="B11" s="55">
        <f>[1]okt10!$D$9/1000</f>
        <v>14050.43</v>
      </c>
      <c r="C11" s="64">
        <v>17330</v>
      </c>
      <c r="D11" s="64">
        <f>[2]Prognos!$D$8/1000</f>
        <v>17000</v>
      </c>
      <c r="E11" s="64">
        <f>SUM('[3]intäkter prognos-10, budget-11'!$G$9)/1000</f>
        <v>17100</v>
      </c>
      <c r="F11" s="57">
        <f t="shared" si="0"/>
        <v>0.98672821696480095</v>
      </c>
      <c r="G11" s="335">
        <f>SUM([1]okt10!$I$9)/1000</f>
        <v>12724.47</v>
      </c>
      <c r="H11" s="335">
        <f>SUM([1]feb10!$J$9)/1000</f>
        <v>15464.52</v>
      </c>
      <c r="I11" s="56">
        <v>15100</v>
      </c>
      <c r="J11" s="334">
        <f t="shared" si="1"/>
        <v>0.82281700304956107</v>
      </c>
      <c r="K11" s="58">
        <f>G11/M11</f>
        <v>0.93442453207063869</v>
      </c>
      <c r="L11" s="59">
        <f>SUM(B11/G11)</f>
        <v>1.1042055189724995</v>
      </c>
      <c r="M11" s="252">
        <v>13617.44</v>
      </c>
    </row>
    <row r="12" spans="1:15">
      <c r="A12" s="60" t="s">
        <v>54</v>
      </c>
      <c r="B12" s="248">
        <f>SUM(B9:B11)</f>
        <v>16227.08</v>
      </c>
      <c r="C12" s="238">
        <f>SUM(C9:C11)</f>
        <v>19510</v>
      </c>
      <c r="D12" s="238">
        <f>SUM(D9:D11)</f>
        <v>19265</v>
      </c>
      <c r="E12" s="238">
        <f>SUM(E9:E11)</f>
        <v>19355</v>
      </c>
      <c r="F12" s="244">
        <f t="shared" si="0"/>
        <v>0.99205535622757557</v>
      </c>
      <c r="G12" s="254">
        <f>SUM(G9:G11)</f>
        <v>14853.849999999999</v>
      </c>
      <c r="H12" s="321">
        <f>SUM(H9:H11)</f>
        <v>17945.05</v>
      </c>
      <c r="I12" s="259">
        <f>SUM(I9:I11)</f>
        <v>17985</v>
      </c>
      <c r="J12" s="53">
        <f t="shared" si="1"/>
        <v>0.82774079760156694</v>
      </c>
      <c r="K12" s="61">
        <f>+G12/M12</f>
        <v>0.8457998297404945</v>
      </c>
      <c r="L12" s="62">
        <f>SUM(B12/G12)</f>
        <v>1.0924494323020633</v>
      </c>
      <c r="M12" s="254">
        <v>17561.8976</v>
      </c>
    </row>
    <row r="13" spans="1:15" ht="6.75" customHeight="1">
      <c r="A13" s="60"/>
      <c r="B13" s="248"/>
      <c r="C13" s="238"/>
      <c r="D13" s="238"/>
      <c r="E13" s="238"/>
      <c r="F13" s="52"/>
      <c r="G13" s="254"/>
      <c r="H13" s="321"/>
      <c r="I13" s="259"/>
      <c r="J13" s="53"/>
      <c r="K13" s="61"/>
      <c r="L13" s="62"/>
      <c r="M13" s="254"/>
    </row>
    <row r="14" spans="1:15" ht="11.1" customHeight="1">
      <c r="A14" s="47" t="s">
        <v>101</v>
      </c>
      <c r="B14" s="245"/>
      <c r="C14" s="236"/>
      <c r="D14" s="236"/>
      <c r="E14" s="236"/>
      <c r="F14" s="52"/>
      <c r="G14" s="252"/>
      <c r="H14" s="108"/>
      <c r="I14" s="260"/>
      <c r="J14" s="53"/>
      <c r="K14" s="53"/>
      <c r="L14" s="62"/>
      <c r="M14" s="252"/>
    </row>
    <row r="15" spans="1:15">
      <c r="A15" s="65" t="s">
        <v>56</v>
      </c>
      <c r="B15" s="245">
        <f>SUM([1]okt10!$D$13)/1000</f>
        <v>1362.15479</v>
      </c>
      <c r="C15" s="236">
        <v>2350</v>
      </c>
      <c r="D15" s="236">
        <f>[2]Prognos!$D$12/1000</f>
        <v>2500</v>
      </c>
      <c r="E15" s="236">
        <f>SUM('[3]intäkter prognos-10, budget-11'!$G$13)/1000</f>
        <v>2200</v>
      </c>
      <c r="F15" s="52">
        <f t="shared" si="0"/>
        <v>0.93617021276595747</v>
      </c>
      <c r="G15" s="252">
        <f>SUM([1]okt10!$I$13)/1000</f>
        <v>2719.8026099999997</v>
      </c>
      <c r="H15" s="252">
        <f>SUM([1]feb10!$J$13)/1000</f>
        <v>3890.8813</v>
      </c>
      <c r="I15" s="236">
        <v>3800</v>
      </c>
      <c r="J15" s="53">
        <f t="shared" si="1"/>
        <v>0.6990196822503939</v>
      </c>
      <c r="K15" s="53">
        <f>G15/M15</f>
        <v>1.1695009184774448</v>
      </c>
      <c r="L15" s="54">
        <f t="shared" ref="L15:L50" si="2">SUM(B15/G15)</f>
        <v>0.50082854725990578</v>
      </c>
      <c r="M15" s="252">
        <v>2325.6096400000001</v>
      </c>
      <c r="O15" s="14"/>
    </row>
    <row r="16" spans="1:15">
      <c r="A16" s="65" t="s">
        <v>61</v>
      </c>
      <c r="B16" s="245">
        <f>SUM([1]okt10!$D$17)/1000</f>
        <v>1907.7012</v>
      </c>
      <c r="C16" s="236">
        <v>2000</v>
      </c>
      <c r="D16" s="236">
        <f>[2]Prognos!$D$16/1000</f>
        <v>2300</v>
      </c>
      <c r="E16" s="236">
        <f>SUM('[3]intäkter prognos-10, budget-11'!$G$17)/1000</f>
        <v>2350</v>
      </c>
      <c r="F16" s="52">
        <f t="shared" si="0"/>
        <v>1.175</v>
      </c>
      <c r="G16" s="252">
        <f>SUM([1]okt10!$I$17)/1000</f>
        <v>1779.5391100000002</v>
      </c>
      <c r="H16" s="252">
        <f>SUM([1]feb10!$J$17)/1000</f>
        <v>2325.2556500000001</v>
      </c>
      <c r="I16" s="236">
        <v>2000</v>
      </c>
      <c r="J16" s="53">
        <f t="shared" si="1"/>
        <v>0.76530901451631783</v>
      </c>
      <c r="K16" s="53">
        <f t="shared" ref="K16:K26" si="3">G16/M16</f>
        <v>0.73095632600926408</v>
      </c>
      <c r="L16" s="54">
        <f t="shared" si="2"/>
        <v>1.0720198220313348</v>
      </c>
      <c r="M16" s="252">
        <v>2434.53548</v>
      </c>
      <c r="O16" s="14"/>
    </row>
    <row r="17" spans="1:15">
      <c r="A17" s="65" t="s">
        <v>58</v>
      </c>
      <c r="B17" s="245">
        <f>SUM([1]okt10!$D$18)/1000</f>
        <v>31766.131000000001</v>
      </c>
      <c r="C17" s="236">
        <v>38000</v>
      </c>
      <c r="D17" s="236">
        <f>[2]Prognos!$D$17/1000</f>
        <v>38500</v>
      </c>
      <c r="E17" s="236">
        <f>SUM('[3]intäkter prognos-10, budget-11'!$G$18)/1000</f>
        <v>38755</v>
      </c>
      <c r="F17" s="52">
        <f t="shared" si="0"/>
        <v>1.0198684210526316</v>
      </c>
      <c r="G17" s="252">
        <f>SUM([1]okt10!$I$18)/1000</f>
        <v>27429.384999999998</v>
      </c>
      <c r="H17" s="252">
        <f>SUM([1]feb10!$J$18)/1000</f>
        <v>33364.145499999999</v>
      </c>
      <c r="I17" s="236">
        <v>33600</v>
      </c>
      <c r="J17" s="53">
        <f t="shared" si="1"/>
        <v>0.82212160955838054</v>
      </c>
      <c r="K17" s="53">
        <f t="shared" si="3"/>
        <v>0.97359363786312636</v>
      </c>
      <c r="L17" s="54">
        <f t="shared" si="2"/>
        <v>1.1581058416001673</v>
      </c>
      <c r="M17" s="252">
        <v>28173.34043</v>
      </c>
      <c r="O17" s="14"/>
    </row>
    <row r="18" spans="1:15">
      <c r="A18" s="65" t="s">
        <v>57</v>
      </c>
      <c r="B18" s="245">
        <f>SUM([1]okt10!$D$21)/1000</f>
        <v>194.87832999999998</v>
      </c>
      <c r="C18" s="236">
        <v>300</v>
      </c>
      <c r="D18" s="236">
        <f>[2]Prognos!$D$20/1000</f>
        <v>300</v>
      </c>
      <c r="E18" s="236">
        <f>SUM('[3]intäkter prognos-10, budget-11'!$G$19)/1000</f>
        <v>300</v>
      </c>
      <c r="F18" s="52">
        <f t="shared" si="0"/>
        <v>1</v>
      </c>
      <c r="G18" s="252">
        <f>SUM([1]okt10!$I$21)/1000</f>
        <v>746.12745999999993</v>
      </c>
      <c r="H18" s="252">
        <f>SUM([1]feb10!$J$21)/1000</f>
        <v>801.06545999999992</v>
      </c>
      <c r="I18" s="236">
        <v>350</v>
      </c>
      <c r="J18" s="53">
        <f t="shared" si="1"/>
        <v>0.93141883810593962</v>
      </c>
      <c r="K18" s="53">
        <f t="shared" si="3"/>
        <v>2.7990661119510207</v>
      </c>
      <c r="L18" s="54">
        <f t="shared" si="2"/>
        <v>0.26118637960329188</v>
      </c>
      <c r="M18" s="252">
        <v>266.56299999999999</v>
      </c>
      <c r="O18" s="14"/>
    </row>
    <row r="19" spans="1:15">
      <c r="A19" s="65" t="s">
        <v>21</v>
      </c>
      <c r="B19" s="245">
        <f>SUM([1]okt10!$D$25)/1000</f>
        <v>258.09557000000001</v>
      </c>
      <c r="C19" s="236">
        <v>375</v>
      </c>
      <c r="D19" s="236">
        <f>[2]Prognos!$D$24/1000</f>
        <v>375</v>
      </c>
      <c r="E19" s="236">
        <f>SUM('[3]intäkter prognos-10, budget-11'!$G$23)/1000</f>
        <v>350</v>
      </c>
      <c r="F19" s="52">
        <f t="shared" si="0"/>
        <v>0.93333333333333335</v>
      </c>
      <c r="G19" s="252">
        <f>SUM([1]okt10!$I$25)/1000</f>
        <v>396.29300000000001</v>
      </c>
      <c r="H19" s="252">
        <f>SUM([1]feb10!$J$25)/1000</f>
        <v>431.60300000000001</v>
      </c>
      <c r="I19" s="236">
        <v>300</v>
      </c>
      <c r="J19" s="53">
        <f t="shared" si="1"/>
        <v>0.91818870582456558</v>
      </c>
      <c r="K19" s="53">
        <f t="shared" si="3"/>
        <v>0.23838119287743154</v>
      </c>
      <c r="L19" s="54">
        <f t="shared" si="2"/>
        <v>0.65127461247107565</v>
      </c>
      <c r="M19" s="252">
        <v>1662.434</v>
      </c>
      <c r="O19" s="14"/>
    </row>
    <row r="20" spans="1:15">
      <c r="A20" s="65" t="s">
        <v>105</v>
      </c>
      <c r="B20" s="245">
        <f>SUM([1]okt10!$D$26)/1000</f>
        <v>138.55195000000001</v>
      </c>
      <c r="C20" s="236">
        <v>200</v>
      </c>
      <c r="D20" s="236">
        <f>[2]Prognos!$D$25/1000</f>
        <v>225</v>
      </c>
      <c r="E20" s="236">
        <f>SUM('[3]intäkter prognos-10, budget-11'!$G$24)/1000</f>
        <v>200</v>
      </c>
      <c r="F20" s="52">
        <f t="shared" si="0"/>
        <v>1</v>
      </c>
      <c r="G20" s="252">
        <f>SUM([1]okt10!$I$26)/1000</f>
        <v>227.834</v>
      </c>
      <c r="H20" s="252">
        <f>SUM([1]feb10!$J$26)/1000</f>
        <v>287.17</v>
      </c>
      <c r="I20" s="236">
        <v>350</v>
      </c>
      <c r="J20" s="53">
        <f t="shared" si="1"/>
        <v>0.7933767454817704</v>
      </c>
      <c r="K20" s="53">
        <f t="shared" si="3"/>
        <v>0.70669350419157462</v>
      </c>
      <c r="L20" s="54">
        <f t="shared" si="2"/>
        <v>0.60812675017776097</v>
      </c>
      <c r="M20" s="252">
        <v>322.39436000000001</v>
      </c>
      <c r="O20" s="14"/>
    </row>
    <row r="21" spans="1:15">
      <c r="A21" s="65" t="s">
        <v>84</v>
      </c>
      <c r="B21" s="245">
        <f>SUM([1]okt10!$D$29)/1000</f>
        <v>1080.5035</v>
      </c>
      <c r="C21" s="236">
        <v>1700</v>
      </c>
      <c r="D21" s="236">
        <f>[2]Prognos!$D$28/1000</f>
        <v>1700</v>
      </c>
      <c r="E21" s="236">
        <f>SUM('[3]intäkter prognos-10, budget-11'!$G$27)/1000</f>
        <v>1700</v>
      </c>
      <c r="F21" s="52">
        <f t="shared" si="0"/>
        <v>1</v>
      </c>
      <c r="G21" s="252">
        <f>[1]okt10!$I$29/1000</f>
        <v>1406.5869500000001</v>
      </c>
      <c r="H21" s="252">
        <f>SUM([1]feb10!$J$29)/1000</f>
        <v>1778.7075600000001</v>
      </c>
      <c r="I21" s="236">
        <v>1400</v>
      </c>
      <c r="J21" s="53">
        <f t="shared" si="1"/>
        <v>0.79079157340513018</v>
      </c>
      <c r="K21" s="53">
        <f t="shared" si="3"/>
        <v>0.95379614931847778</v>
      </c>
      <c r="L21" s="54">
        <f t="shared" si="2"/>
        <v>0.76817398312987328</v>
      </c>
      <c r="M21" s="252">
        <v>1474.7249199999999</v>
      </c>
      <c r="O21" s="14"/>
    </row>
    <row r="22" spans="1:15">
      <c r="A22" s="65" t="s">
        <v>87</v>
      </c>
      <c r="B22" s="245">
        <f>SUM([1]okt10!$D$44)/1000</f>
        <v>495.01742999999999</v>
      </c>
      <c r="C22" s="236">
        <v>500</v>
      </c>
      <c r="D22" s="236">
        <f>[2]Prognos!$D$43/1000</f>
        <v>600</v>
      </c>
      <c r="E22" s="236">
        <f>SUM('[3]intäkter prognos-10, budget-11'!$G$41)/1000</f>
        <v>500</v>
      </c>
      <c r="F22" s="52">
        <f t="shared" si="0"/>
        <v>1</v>
      </c>
      <c r="G22" s="252">
        <f>SUM([1]okt10!$I$44)/1000</f>
        <v>472.76895999999999</v>
      </c>
      <c r="H22" s="252">
        <f>SUM([1]feb10!$J$44)/1000</f>
        <v>587.97471999999993</v>
      </c>
      <c r="I22" s="236">
        <v>1000</v>
      </c>
      <c r="J22" s="53">
        <f t="shared" si="1"/>
        <v>0.80406341279434612</v>
      </c>
      <c r="K22" s="53">
        <f t="shared" si="3"/>
        <v>0.59833870122766963</v>
      </c>
      <c r="L22" s="54">
        <f t="shared" si="2"/>
        <v>1.0470599211927958</v>
      </c>
      <c r="M22" s="252">
        <v>790.13602000000003</v>
      </c>
      <c r="O22" s="14"/>
    </row>
    <row r="23" spans="1:15">
      <c r="A23" s="65" t="s">
        <v>44</v>
      </c>
      <c r="B23" s="245">
        <f>SUM([1]okt10!$D$45)/1000</f>
        <v>316.14868999999999</v>
      </c>
      <c r="C23" s="236">
        <v>1345</v>
      </c>
      <c r="D23" s="236">
        <f>[2]Prognos!$D$44/1000</f>
        <v>10000</v>
      </c>
      <c r="E23" s="236">
        <f>SUM('[3]intäkter prognos-10, budget-11'!$G$42)/1000</f>
        <v>10400</v>
      </c>
      <c r="F23" s="52">
        <f t="shared" si="0"/>
        <v>7.7323420074349443</v>
      </c>
      <c r="G23" s="252">
        <f>SUM([1]okt10!$I$45)/1000</f>
        <v>511.33717999999999</v>
      </c>
      <c r="H23" s="252">
        <f>SUM([1]feb10!$J$45)/1000</f>
        <v>640.36149999999998</v>
      </c>
      <c r="I23" s="236">
        <v>1700</v>
      </c>
      <c r="J23" s="53">
        <f t="shared" si="1"/>
        <v>0.79851330849840285</v>
      </c>
      <c r="K23" s="53">
        <f t="shared" si="3"/>
        <v>0.93947448115906362</v>
      </c>
      <c r="L23" s="54">
        <f t="shared" si="2"/>
        <v>0.61827831490759189</v>
      </c>
      <c r="M23" s="252">
        <v>544.28001000000006</v>
      </c>
      <c r="O23" s="14"/>
    </row>
    <row r="24" spans="1:15">
      <c r="A24" s="65" t="s">
        <v>22</v>
      </c>
      <c r="B24" s="245">
        <f>SUM([1]okt10!$D$46)/1000</f>
        <v>0</v>
      </c>
      <c r="C24" s="236">
        <v>2825</v>
      </c>
      <c r="D24" s="236">
        <f>[2]Prognos!$D$45/1000</f>
        <v>4979.6409999999996</v>
      </c>
      <c r="E24" s="236">
        <f>SUM('[3]intäkter prognos-10, budget-11'!$G$43)/1000</f>
        <v>4915</v>
      </c>
      <c r="F24" s="52">
        <f t="shared" si="0"/>
        <v>1.7398230088495574</v>
      </c>
      <c r="G24" s="252">
        <f>SUM([1]okt10!$I$46)/1000</f>
        <v>0</v>
      </c>
      <c r="H24" s="252">
        <f>SUM([1]feb10!$J$46)/1000</f>
        <v>5192.02225</v>
      </c>
      <c r="I24" s="236">
        <v>4068</v>
      </c>
      <c r="J24" s="53">
        <f t="shared" si="1"/>
        <v>0</v>
      </c>
      <c r="K24" s="53">
        <f t="shared" si="3"/>
        <v>0</v>
      </c>
      <c r="L24" s="54" t="e">
        <f t="shared" si="2"/>
        <v>#DIV/0!</v>
      </c>
      <c r="M24" s="252">
        <v>3655.5039999999999</v>
      </c>
      <c r="O24" s="14"/>
    </row>
    <row r="25" spans="1:15">
      <c r="A25" s="65" t="s">
        <v>23</v>
      </c>
      <c r="B25" s="245">
        <f>SUM([1]okt10!$D$47)/1000</f>
        <v>0</v>
      </c>
      <c r="C25" s="236">
        <v>0</v>
      </c>
      <c r="D25" s="236">
        <f>[2]Prognos!$D$46/1000</f>
        <v>189.596</v>
      </c>
      <c r="E25" s="236">
        <f>SUM('[3]intäkter prognos-10, budget-11'!$G$44)/1000</f>
        <v>172</v>
      </c>
      <c r="F25" s="52" t="s">
        <v>162</v>
      </c>
      <c r="G25" s="252">
        <f>SUM([1]okt10!$I$47)/1000</f>
        <v>0</v>
      </c>
      <c r="H25" s="252">
        <f>SUM([1]feb10!$J$47)/1000</f>
        <v>230.30885000000001</v>
      </c>
      <c r="I25" s="236">
        <v>230</v>
      </c>
      <c r="J25" s="53">
        <f t="shared" si="1"/>
        <v>0</v>
      </c>
      <c r="K25" s="53">
        <f t="shared" si="3"/>
        <v>0</v>
      </c>
      <c r="L25" s="54" t="e">
        <f t="shared" si="2"/>
        <v>#DIV/0!</v>
      </c>
      <c r="M25" s="252">
        <v>169.52404999999999</v>
      </c>
      <c r="O25" s="14"/>
    </row>
    <row r="26" spans="1:15">
      <c r="A26" s="65" t="s">
        <v>100</v>
      </c>
      <c r="B26" s="245">
        <f>SUM([1]okt10!$D$48)/1000</f>
        <v>5540.1229999999996</v>
      </c>
      <c r="C26" s="236">
        <v>10000</v>
      </c>
      <c r="D26" s="236">
        <f>[2]Prognos!$D$47/1000</f>
        <v>10000</v>
      </c>
      <c r="E26" s="236">
        <f>SUM('[3]intäkter prognos-10, budget-11'!$G$45)/1000</f>
        <v>11080</v>
      </c>
      <c r="F26" s="52">
        <f t="shared" si="0"/>
        <v>1.1080000000000001</v>
      </c>
      <c r="G26" s="252">
        <f>SUM([1]okt10!$I$48)/1000</f>
        <v>5000.1229999999996</v>
      </c>
      <c r="H26" s="252">
        <f>SUM([1]feb10!$J$48)/1000</f>
        <v>10000.245000000001</v>
      </c>
      <c r="I26" s="236">
        <v>5000</v>
      </c>
      <c r="J26" s="53">
        <f t="shared" si="1"/>
        <v>0.5000000499987749</v>
      </c>
      <c r="K26" s="53">
        <f t="shared" si="3"/>
        <v>0.99999640010151714</v>
      </c>
      <c r="L26" s="54">
        <f t="shared" si="2"/>
        <v>1.1079973432653556</v>
      </c>
      <c r="M26" s="252">
        <v>5000.1409999999996</v>
      </c>
      <c r="O26" s="14"/>
    </row>
    <row r="27" spans="1:15" s="67" customFormat="1">
      <c r="A27" s="66" t="s">
        <v>59</v>
      </c>
      <c r="B27" s="347">
        <f>SUM([1]okt10!$D$49)/1000</f>
        <v>-4736.5236399999994</v>
      </c>
      <c r="C27" s="272">
        <v>-6500</v>
      </c>
      <c r="D27" s="272">
        <f>[2]Prognos!$D$48/1000+[2]Prognos!$D$49/1000</f>
        <v>-7783.61607</v>
      </c>
      <c r="E27" s="272">
        <f>SUM('[3]intäkter prognos-10, budget-11'!$G$46+'[3]intäkter prognos-10, budget-11'!$G$47)/1000</f>
        <v>-7902.5</v>
      </c>
      <c r="F27" s="57">
        <f t="shared" si="0"/>
        <v>1.2157692307692307</v>
      </c>
      <c r="G27" s="253">
        <f>SUM([1]okt10!$I$49)/1000</f>
        <v>-4473.1867000000002</v>
      </c>
      <c r="H27" s="253">
        <f>SUM([1]feb10!$J$49)/1000</f>
        <v>-6442.1665400000002</v>
      </c>
      <c r="I27" s="272">
        <v>-5818</v>
      </c>
      <c r="J27" s="334">
        <f t="shared" si="1"/>
        <v>0.69436061179504993</v>
      </c>
      <c r="K27" s="323">
        <f>G27/M27</f>
        <v>0.88113175253102016</v>
      </c>
      <c r="L27" s="59">
        <f t="shared" si="2"/>
        <v>1.0588700981338426</v>
      </c>
      <c r="M27" s="253">
        <v>-5076.6377300000004</v>
      </c>
      <c r="O27" s="14"/>
    </row>
    <row r="28" spans="1:15">
      <c r="A28" s="60" t="s">
        <v>106</v>
      </c>
      <c r="B28" s="248">
        <f>SUM(B15:B27)</f>
        <v>38322.781820000004</v>
      </c>
      <c r="C28" s="238">
        <f>SUM(C15:C27)</f>
        <v>53095</v>
      </c>
      <c r="D28" s="238">
        <f>SUM(D15:D27)</f>
        <v>63885.62092999999</v>
      </c>
      <c r="E28" s="238">
        <f>SUM(E15:E27)</f>
        <v>65019.5</v>
      </c>
      <c r="F28" s="52">
        <f t="shared" si="0"/>
        <v>1.224588002636783</v>
      </c>
      <c r="G28" s="254">
        <f>SUM(G15:G27)</f>
        <v>36216.610570000004</v>
      </c>
      <c r="H28" s="321">
        <f>SUM(H15:H27)</f>
        <v>53087.574250000005</v>
      </c>
      <c r="I28" s="261">
        <f>SUM(I15:I27)</f>
        <v>47980</v>
      </c>
      <c r="J28" s="53">
        <f t="shared" si="1"/>
        <v>0.68220503727385884</v>
      </c>
      <c r="K28" s="61">
        <f>+G28/M28</f>
        <v>0.86761856382629299</v>
      </c>
      <c r="L28" s="62">
        <f t="shared" si="2"/>
        <v>1.0581548415727409</v>
      </c>
      <c r="M28" s="254">
        <v>41742.549180000002</v>
      </c>
    </row>
    <row r="29" spans="1:15" ht="6.75" customHeight="1">
      <c r="A29" s="35"/>
      <c r="B29" s="245"/>
      <c r="C29" s="236"/>
      <c r="D29" s="236"/>
      <c r="E29" s="236"/>
      <c r="F29" s="52"/>
      <c r="G29" s="252"/>
      <c r="H29" s="108"/>
      <c r="I29" s="260"/>
      <c r="J29" s="53"/>
      <c r="K29" s="53"/>
      <c r="L29" s="62"/>
      <c r="M29" s="252"/>
    </row>
    <row r="30" spans="1:15">
      <c r="A30" s="60" t="s">
        <v>18</v>
      </c>
      <c r="B30" s="245"/>
      <c r="C30" s="236"/>
      <c r="D30" s="236"/>
      <c r="E30" s="236"/>
      <c r="F30" s="52"/>
      <c r="G30" s="252"/>
      <c r="H30" s="108"/>
      <c r="I30" s="260"/>
      <c r="J30" s="53"/>
      <c r="K30" s="53"/>
      <c r="L30" s="62"/>
      <c r="M30" s="252"/>
    </row>
    <row r="31" spans="1:15">
      <c r="A31" s="35" t="s">
        <v>88</v>
      </c>
      <c r="B31" s="245">
        <f>SUM([1]okt10!$D$53)/1000</f>
        <v>177.94200000000001</v>
      </c>
      <c r="C31" s="236">
        <v>380</v>
      </c>
      <c r="D31" s="236">
        <f>[2]Prognos!$D$53/1000</f>
        <v>321</v>
      </c>
      <c r="E31" s="236">
        <f>SUM('[3]intäkter prognos-10, budget-11'!$G$51)/1000</f>
        <v>300</v>
      </c>
      <c r="F31" s="52">
        <f t="shared" si="0"/>
        <v>0.78947368421052633</v>
      </c>
      <c r="G31" s="49">
        <f>SUM([1]okt10!$I$53)/1000</f>
        <v>150.94399999999999</v>
      </c>
      <c r="H31" s="49">
        <f>SUM([1]feb10!$J$53)/1000</f>
        <v>268.22899999999998</v>
      </c>
      <c r="I31" s="236">
        <v>350</v>
      </c>
      <c r="J31" s="53">
        <f t="shared" si="1"/>
        <v>0.56274302927722208</v>
      </c>
      <c r="K31" s="53">
        <f>G31/M31</f>
        <v>0.71289111389236537</v>
      </c>
      <c r="L31" s="54">
        <f t="shared" si="2"/>
        <v>1.1788610345558619</v>
      </c>
      <c r="M31" s="252">
        <v>211.73500000000001</v>
      </c>
    </row>
    <row r="32" spans="1:15">
      <c r="A32" s="35" t="s">
        <v>125</v>
      </c>
      <c r="B32" s="245">
        <f>SUM([1]okt10!$D$54)/1000</f>
        <v>0</v>
      </c>
      <c r="C32" s="236">
        <v>0</v>
      </c>
      <c r="D32" s="236">
        <f>[2]Prognos!$D$54/1000</f>
        <v>0</v>
      </c>
      <c r="E32" s="236">
        <v>0</v>
      </c>
      <c r="F32" s="52" t="s">
        <v>162</v>
      </c>
      <c r="G32" s="49">
        <f>SUM([1]okt10!$I$54)/1000</f>
        <v>33</v>
      </c>
      <c r="H32" s="49">
        <f>SUM([1]feb10!$J$54)/1000</f>
        <v>82</v>
      </c>
      <c r="I32" s="236">
        <v>465</v>
      </c>
      <c r="J32" s="53">
        <f t="shared" si="1"/>
        <v>0.40243902439024393</v>
      </c>
      <c r="K32" s="53" t="e">
        <f t="shared" ref="K32:K38" si="4">G32/M32</f>
        <v>#DIV/0!</v>
      </c>
      <c r="L32" s="54">
        <f t="shared" si="2"/>
        <v>0</v>
      </c>
      <c r="M32" s="252">
        <v>0</v>
      </c>
    </row>
    <row r="33" spans="1:13">
      <c r="A33" s="35" t="s">
        <v>107</v>
      </c>
      <c r="B33" s="245">
        <f>SUM([1]okt10!$D$55)/1000</f>
        <v>0</v>
      </c>
      <c r="C33" s="236">
        <v>25</v>
      </c>
      <c r="D33" s="236">
        <f>[2]Prognos!$D$55/1000</f>
        <v>25</v>
      </c>
      <c r="E33" s="236">
        <f>SUM('[3]intäkter prognos-10, budget-11'!$G$53)/1000</f>
        <v>0</v>
      </c>
      <c r="F33" s="52">
        <f t="shared" si="0"/>
        <v>0</v>
      </c>
      <c r="G33" s="252">
        <f>SUM([1]okt10!$I$55)/1000</f>
        <v>7</v>
      </c>
      <c r="H33" s="252">
        <f>SUM([1]feb10!$J$55)/1000</f>
        <v>17.5</v>
      </c>
      <c r="I33" s="236">
        <v>25</v>
      </c>
      <c r="J33" s="53">
        <f t="shared" si="1"/>
        <v>0.4</v>
      </c>
      <c r="K33" s="53">
        <f t="shared" si="4"/>
        <v>0.28326124334690156</v>
      </c>
      <c r="L33" s="54">
        <f t="shared" si="2"/>
        <v>0</v>
      </c>
      <c r="M33" s="252">
        <v>24.712169999999997</v>
      </c>
    </row>
    <row r="34" spans="1:13">
      <c r="A34" s="41" t="s">
        <v>108</v>
      </c>
      <c r="B34" s="245">
        <f>SUM([1]okt10!$D$56)/1000</f>
        <v>83.5</v>
      </c>
      <c r="C34" s="236">
        <v>100</v>
      </c>
      <c r="D34" s="236">
        <f>[2]Prognos!$D$56/1000</f>
        <v>50</v>
      </c>
      <c r="E34" s="236">
        <f>SUM('[3]intäkter prognos-10, budget-11'!$G$54)/1000</f>
        <v>85</v>
      </c>
      <c r="F34" s="52">
        <f t="shared" si="0"/>
        <v>0.85</v>
      </c>
      <c r="G34" s="108">
        <f>SUM([1]okt10!$I$56)/1000</f>
        <v>160.036</v>
      </c>
      <c r="H34" s="108">
        <f>SUM([1]feb10!$J$56)/1000</f>
        <v>160.036</v>
      </c>
      <c r="I34" s="237">
        <v>100</v>
      </c>
      <c r="J34" s="53">
        <f t="shared" si="1"/>
        <v>1</v>
      </c>
      <c r="K34" s="53" t="e">
        <f t="shared" si="4"/>
        <v>#DIV/0!</v>
      </c>
      <c r="L34" s="54">
        <f t="shared" si="2"/>
        <v>0.52175760453897868</v>
      </c>
      <c r="M34" s="252">
        <v>0</v>
      </c>
    </row>
    <row r="35" spans="1:13">
      <c r="A35" s="41" t="s">
        <v>52</v>
      </c>
      <c r="B35" s="245">
        <f>SUM([1]okt10!$D$57)/1000</f>
        <v>14.8</v>
      </c>
      <c r="C35" s="236">
        <v>25</v>
      </c>
      <c r="D35" s="236">
        <f>[2]Prognos!$D$57/1000</f>
        <v>25</v>
      </c>
      <c r="E35" s="236">
        <f>SUM('[3]intäkter prognos-10, budget-11'!$G$55)/1000</f>
        <v>20</v>
      </c>
      <c r="F35" s="52">
        <f t="shared" si="0"/>
        <v>0.8</v>
      </c>
      <c r="G35" s="108">
        <f>SUM([1]okt10!$I$57)/1000</f>
        <v>21.351500000000001</v>
      </c>
      <c r="H35" s="108">
        <f>SUM([1]feb10!$J$57)/1000</f>
        <v>24.261500000000002</v>
      </c>
      <c r="I35" s="237">
        <v>25</v>
      </c>
      <c r="J35" s="53">
        <f t="shared" si="1"/>
        <v>0.88005688024235929</v>
      </c>
      <c r="K35" s="53">
        <f t="shared" si="4"/>
        <v>0.73778507256392534</v>
      </c>
      <c r="L35" s="54">
        <f t="shared" si="2"/>
        <v>0.69315973116642859</v>
      </c>
      <c r="M35" s="252">
        <v>28.94</v>
      </c>
    </row>
    <row r="36" spans="1:13">
      <c r="A36" s="41" t="s">
        <v>53</v>
      </c>
      <c r="B36" s="245">
        <f>SUM([1]okt10!$D$62)/1000</f>
        <v>29.37124</v>
      </c>
      <c r="C36" s="236">
        <v>75</v>
      </c>
      <c r="D36" s="236">
        <f>[2]Prognos!$D$62/1000</f>
        <v>50</v>
      </c>
      <c r="E36" s="236">
        <f>SUM('[3]intäkter prognos-10, budget-11'!$G$60)/1000</f>
        <v>40</v>
      </c>
      <c r="F36" s="52">
        <f t="shared" si="0"/>
        <v>0.53333333333333333</v>
      </c>
      <c r="G36" s="108">
        <f>SUM([1]okt10!$I$62)/1000</f>
        <v>38.734739999999995</v>
      </c>
      <c r="H36" s="108">
        <f>SUM([1]feb10!$J$62)/1000</f>
        <v>50.610210000000002</v>
      </c>
      <c r="I36" s="237">
        <v>50</v>
      </c>
      <c r="J36" s="53">
        <f t="shared" si="1"/>
        <v>0.76535426349742464</v>
      </c>
      <c r="K36" s="53">
        <f t="shared" si="4"/>
        <v>0.44835315487750971</v>
      </c>
      <c r="L36" s="54">
        <f t="shared" si="2"/>
        <v>0.75826609395080502</v>
      </c>
      <c r="M36" s="252">
        <v>86.39336999999999</v>
      </c>
    </row>
    <row r="37" spans="1:13">
      <c r="A37" s="41" t="s">
        <v>109</v>
      </c>
      <c r="B37" s="245">
        <f>SUM([1]okt10!$D$68)/1000</f>
        <v>55.756</v>
      </c>
      <c r="C37" s="236">
        <v>65</v>
      </c>
      <c r="D37" s="236">
        <f>[2]Prognos!$D$68/1000</f>
        <v>60</v>
      </c>
      <c r="E37" s="236">
        <f>SUM('[3]intäkter prognos-10, budget-11'!$G$66)/1000</f>
        <v>55</v>
      </c>
      <c r="F37" s="52">
        <f t="shared" si="0"/>
        <v>0.84615384615384615</v>
      </c>
      <c r="G37" s="108">
        <f>SUM([1]okt10!$I$68)/1000</f>
        <v>65.433800000000005</v>
      </c>
      <c r="H37" s="108">
        <f>SUM([1]feb10!$J$68)/1000</f>
        <v>65.732799999999997</v>
      </c>
      <c r="I37" s="237">
        <v>60</v>
      </c>
      <c r="J37" s="53">
        <f t="shared" si="1"/>
        <v>0.99545128155198026</v>
      </c>
      <c r="K37" s="53">
        <f t="shared" si="4"/>
        <v>1.0698790058862002</v>
      </c>
      <c r="L37" s="54">
        <f t="shared" si="2"/>
        <v>0.85209784545601808</v>
      </c>
      <c r="M37" s="252">
        <v>61.16</v>
      </c>
    </row>
    <row r="38" spans="1:13">
      <c r="A38" s="41" t="s">
        <v>110</v>
      </c>
      <c r="B38" s="55">
        <f>SUM([1]okt10!$D$69)/1000</f>
        <v>305.24900000000002</v>
      </c>
      <c r="C38" s="64">
        <v>400</v>
      </c>
      <c r="D38" s="64">
        <f>[2]Prognos!$D$69/1000</f>
        <v>325</v>
      </c>
      <c r="E38" s="64">
        <f>SUM('[3]intäkter prognos-10, budget-11'!$G$67)/1000</f>
        <v>325</v>
      </c>
      <c r="F38" s="57">
        <f t="shared" si="0"/>
        <v>0.8125</v>
      </c>
      <c r="G38" s="331">
        <f>SUM([1]okt10!$I$69)/1000</f>
        <v>312.67</v>
      </c>
      <c r="H38" s="331">
        <f>SUM([1]feb10!$J$69)/1000</f>
        <v>347.01</v>
      </c>
      <c r="I38" s="56">
        <v>425</v>
      </c>
      <c r="J38" s="334">
        <f t="shared" si="1"/>
        <v>0.90104031584104216</v>
      </c>
      <c r="K38" s="334">
        <f t="shared" si="4"/>
        <v>0.80551834295136027</v>
      </c>
      <c r="L38" s="59">
        <f t="shared" si="2"/>
        <v>0.97626571145296959</v>
      </c>
      <c r="M38" s="255">
        <v>388.16</v>
      </c>
    </row>
    <row r="39" spans="1:13">
      <c r="A39" s="60" t="s">
        <v>55</v>
      </c>
      <c r="B39" s="247">
        <f>SUM(B31:B38)</f>
        <v>666.61824000000001</v>
      </c>
      <c r="C39" s="238">
        <f>SUM(C31:C38)</f>
        <v>1070</v>
      </c>
      <c r="D39" s="238">
        <f>SUM(D31:D38)</f>
        <v>856</v>
      </c>
      <c r="E39" s="238">
        <f>SUM(E31:E38)</f>
        <v>825</v>
      </c>
      <c r="F39" s="52">
        <f t="shared" si="0"/>
        <v>0.7710280373831776</v>
      </c>
      <c r="G39" s="256">
        <f>SUM(G31:G38)</f>
        <v>789.17003999999997</v>
      </c>
      <c r="H39" s="346">
        <f>SUM(H31:H38)</f>
        <v>1015.37951</v>
      </c>
      <c r="I39" s="261">
        <f>SUM(I31:I38)</f>
        <v>1500</v>
      </c>
      <c r="J39" s="53">
        <f t="shared" si="1"/>
        <v>0.77721682605157161</v>
      </c>
      <c r="K39" s="61">
        <f>+G39/M39</f>
        <v>0.98510736242919006</v>
      </c>
      <c r="L39" s="62">
        <f t="shared" si="2"/>
        <v>0.84470799220913151</v>
      </c>
      <c r="M39" s="256">
        <v>801.10054000000014</v>
      </c>
    </row>
    <row r="40" spans="1:13" ht="6.75" customHeight="1">
      <c r="A40" s="60"/>
      <c r="B40" s="247"/>
      <c r="C40" s="238"/>
      <c r="D40" s="238"/>
      <c r="E40" s="238"/>
      <c r="F40" s="52"/>
      <c r="G40" s="256"/>
      <c r="H40" s="346"/>
      <c r="I40" s="261"/>
      <c r="J40" s="53"/>
      <c r="K40" s="61"/>
      <c r="L40" s="62"/>
      <c r="M40" s="256"/>
    </row>
    <row r="41" spans="1:13">
      <c r="A41" s="60" t="s">
        <v>111</v>
      </c>
      <c r="B41" s="247"/>
      <c r="C41" s="238"/>
      <c r="D41" s="238"/>
      <c r="E41" s="238"/>
      <c r="F41" s="52"/>
      <c r="G41" s="256"/>
      <c r="H41" s="346"/>
      <c r="I41" s="261"/>
      <c r="J41" s="53"/>
      <c r="K41" s="61"/>
      <c r="L41" s="62"/>
      <c r="M41" s="256"/>
    </row>
    <row r="42" spans="1:13">
      <c r="A42" s="65" t="s">
        <v>102</v>
      </c>
      <c r="B42" s="55">
        <f>[1]okt10!$D$76/1000</f>
        <v>222.74375000000001</v>
      </c>
      <c r="C42" s="64">
        <v>0</v>
      </c>
      <c r="D42" s="64">
        <f>[2]Prognos!$D$76/1000</f>
        <v>813</v>
      </c>
      <c r="E42" s="64">
        <f>SUM('[3]intäkter prognos-10, budget-11'!$G$74)/1000</f>
        <v>665</v>
      </c>
      <c r="F42" s="52" t="s">
        <v>162</v>
      </c>
      <c r="G42" s="255">
        <f>SUM([1]okt10!$I$76)</f>
        <v>0</v>
      </c>
      <c r="H42" s="331">
        <f>SUM([1]feb10!$J$76)</f>
        <v>0</v>
      </c>
      <c r="I42" s="250">
        <v>0</v>
      </c>
      <c r="J42" s="334" t="e">
        <f t="shared" si="1"/>
        <v>#DIV/0!</v>
      </c>
      <c r="K42" s="58">
        <f>+G42/M42</f>
        <v>0</v>
      </c>
      <c r="L42" s="243" t="e">
        <f t="shared" si="2"/>
        <v>#DIV/0!</v>
      </c>
      <c r="M42" s="255">
        <v>751.91633000000013</v>
      </c>
    </row>
    <row r="43" spans="1:13" s="24" customFormat="1">
      <c r="A43" s="30" t="s">
        <v>112</v>
      </c>
      <c r="B43" s="248">
        <f t="shared" ref="B43:I43" si="5">SUM(B42)</f>
        <v>222.74375000000001</v>
      </c>
      <c r="C43" s="322">
        <f t="shared" si="5"/>
        <v>0</v>
      </c>
      <c r="D43" s="322">
        <f>SUM(D42)</f>
        <v>813</v>
      </c>
      <c r="E43" s="322">
        <f>SUM(E42)</f>
        <v>665</v>
      </c>
      <c r="F43" s="52" t="s">
        <v>162</v>
      </c>
      <c r="G43" s="321">
        <f t="shared" si="5"/>
        <v>0</v>
      </c>
      <c r="H43" s="321">
        <f t="shared" si="5"/>
        <v>0</v>
      </c>
      <c r="I43" s="262">
        <f t="shared" si="5"/>
        <v>0</v>
      </c>
      <c r="J43" s="53" t="e">
        <f t="shared" si="1"/>
        <v>#DIV/0!</v>
      </c>
      <c r="K43" s="61">
        <f>+G43/M43</f>
        <v>0</v>
      </c>
      <c r="L43" s="62" t="e">
        <f t="shared" si="2"/>
        <v>#DIV/0!</v>
      </c>
      <c r="M43" s="256">
        <v>751.91633000000013</v>
      </c>
    </row>
    <row r="44" spans="1:13" ht="6.75" customHeight="1">
      <c r="A44" s="35"/>
      <c r="B44" s="245"/>
      <c r="C44" s="236"/>
      <c r="D44" s="236"/>
      <c r="E44" s="236"/>
      <c r="F44" s="52"/>
      <c r="G44" s="108"/>
      <c r="H44" s="108"/>
      <c r="I44" s="260"/>
      <c r="J44" s="53"/>
      <c r="K44" s="53"/>
      <c r="L44" s="62"/>
      <c r="M44" s="252"/>
    </row>
    <row r="45" spans="1:13">
      <c r="A45" s="47" t="s">
        <v>24</v>
      </c>
      <c r="B45" s="245"/>
      <c r="C45" s="236"/>
      <c r="D45" s="236"/>
      <c r="E45" s="236"/>
      <c r="F45" s="52"/>
      <c r="G45" s="108"/>
      <c r="H45" s="108"/>
      <c r="I45" s="260"/>
      <c r="J45" s="53"/>
      <c r="K45" s="53"/>
      <c r="L45" s="62"/>
      <c r="M45" s="252"/>
    </row>
    <row r="46" spans="1:13">
      <c r="A46" s="35" t="s">
        <v>25</v>
      </c>
      <c r="B46" s="245">
        <f>SUM([1]okt10!$D$79)/1000</f>
        <v>0</v>
      </c>
      <c r="C46" s="236">
        <v>300</v>
      </c>
      <c r="D46" s="236">
        <f>[2]Prognos!$D$79/1000</f>
        <v>450</v>
      </c>
      <c r="E46" s="236">
        <f>SUM('[3]intäkter prognos-10, budget-11'!$G$77/1000)</f>
        <v>450</v>
      </c>
      <c r="F46" s="52">
        <f t="shared" si="0"/>
        <v>1.5</v>
      </c>
      <c r="G46" s="108">
        <v>0</v>
      </c>
      <c r="H46" s="108">
        <f>SUM([1]feb10!$J$79)/1000</f>
        <v>551.44630000000006</v>
      </c>
      <c r="I46" s="236">
        <v>300</v>
      </c>
      <c r="J46" s="53">
        <f t="shared" si="1"/>
        <v>0</v>
      </c>
      <c r="K46" s="53">
        <f>H46/M46</f>
        <v>0.71564900962895373</v>
      </c>
      <c r="L46" s="54" t="e">
        <f t="shared" si="2"/>
        <v>#DIV/0!</v>
      </c>
      <c r="M46" s="252">
        <v>770.55412999999999</v>
      </c>
    </row>
    <row r="47" spans="1:13">
      <c r="A47" s="35" t="s">
        <v>24</v>
      </c>
      <c r="B47" s="55">
        <f>SUM([1]okt10!$D$80)/1000</f>
        <v>0.13600000000000001</v>
      </c>
      <c r="C47" s="64">
        <v>20</v>
      </c>
      <c r="D47" s="64">
        <f>[2]Prognos!$D$80/1000</f>
        <v>20</v>
      </c>
      <c r="E47" s="64">
        <f>SUM('[3]intäkter prognos-10, budget-11'!$G$78)/1000</f>
        <v>10</v>
      </c>
      <c r="F47" s="57">
        <f t="shared" si="0"/>
        <v>0.5</v>
      </c>
      <c r="G47" s="331">
        <f>SUM([1]okt10!$I$80)/1000</f>
        <v>13.18229</v>
      </c>
      <c r="H47" s="331">
        <f>SUM([1]feb10!$J$80)/1000</f>
        <v>19.904439999999997</v>
      </c>
      <c r="I47" s="64">
        <v>20</v>
      </c>
      <c r="J47" s="334">
        <f t="shared" si="1"/>
        <v>0.6622788684333748</v>
      </c>
      <c r="K47" s="58" t="e">
        <f>G47/M47</f>
        <v>#DIV/0!</v>
      </c>
      <c r="L47" s="243">
        <f t="shared" si="2"/>
        <v>1.0316872106439777E-2</v>
      </c>
      <c r="M47" s="252">
        <v>0</v>
      </c>
    </row>
    <row r="48" spans="1:13">
      <c r="A48" s="60" t="s">
        <v>60</v>
      </c>
      <c r="B48" s="248">
        <f>SUM(B46:B47)</f>
        <v>0.13600000000000001</v>
      </c>
      <c r="C48" s="240">
        <f>SUM(C46:C47)</f>
        <v>320</v>
      </c>
      <c r="D48" s="240">
        <f>SUM(D46:D47)</f>
        <v>470</v>
      </c>
      <c r="E48" s="240">
        <f>SUM(E46:E47)</f>
        <v>460</v>
      </c>
      <c r="F48" s="52">
        <f t="shared" si="0"/>
        <v>1.4375</v>
      </c>
      <c r="G48" s="321">
        <f>SUM(G46:G47)</f>
        <v>13.18229</v>
      </c>
      <c r="H48" s="321">
        <f>SUM(H46:H47)</f>
        <v>571.35074000000009</v>
      </c>
      <c r="I48" s="261">
        <f>SUM(I46:I47)</f>
        <v>320</v>
      </c>
      <c r="J48" s="53">
        <f t="shared" si="1"/>
        <v>2.3072150042196492E-2</v>
      </c>
      <c r="K48" s="61">
        <f>+G48/M48</f>
        <v>1.7107545708696676E-2</v>
      </c>
      <c r="L48" s="62">
        <f t="shared" si="2"/>
        <v>1.0316872106439777E-2</v>
      </c>
      <c r="M48" s="254">
        <v>770.55412999999999</v>
      </c>
    </row>
    <row r="49" spans="1:13" ht="9.75" customHeight="1">
      <c r="A49" s="35"/>
      <c r="B49" s="245"/>
      <c r="C49" s="236"/>
      <c r="D49" s="236"/>
      <c r="E49" s="236"/>
      <c r="F49" s="57"/>
      <c r="G49" s="108"/>
      <c r="H49" s="108"/>
      <c r="I49" s="260"/>
      <c r="J49" s="53"/>
      <c r="K49" s="58"/>
      <c r="L49" s="336"/>
      <c r="M49" s="252"/>
    </row>
    <row r="50" spans="1:13">
      <c r="A50" s="68" t="s">
        <v>3</v>
      </c>
      <c r="B50" s="249">
        <f>SUM(B12+B28+B39+B43+B48)</f>
        <v>55439.359810000009</v>
      </c>
      <c r="C50" s="241">
        <f>SUM(C12+C28+C39+C43+C48)</f>
        <v>73995</v>
      </c>
      <c r="D50" s="241">
        <f>SUM(D12+D28+D39+D43+D48)</f>
        <v>85289.62092999999</v>
      </c>
      <c r="E50" s="241">
        <f>SUM(E12+E28+E39+E43+E48)</f>
        <v>86324.5</v>
      </c>
      <c r="F50" s="356">
        <f t="shared" si="0"/>
        <v>1.1666261233867152</v>
      </c>
      <c r="G50" s="332">
        <f>SUM(G12+G28+G39+G43+G48)</f>
        <v>51872.812899999997</v>
      </c>
      <c r="H50" s="332">
        <f>SUM(H12+H28+H39+H43+H48)</f>
        <v>72619.354500000001</v>
      </c>
      <c r="I50" s="263">
        <f>SUM(I12+I28+I39+I43+I48)</f>
        <v>67785</v>
      </c>
      <c r="J50" s="337">
        <f t="shared" si="1"/>
        <v>0.71431112624389959</v>
      </c>
      <c r="K50" s="269">
        <f>+G50/M50</f>
        <v>0.84170828088574623</v>
      </c>
      <c r="L50" s="257">
        <f t="shared" si="2"/>
        <v>1.0687556103208742</v>
      </c>
      <c r="M50" s="241">
        <v>61628.017779999995</v>
      </c>
    </row>
    <row r="51" spans="1:13" ht="16.5" customHeight="1">
      <c r="A51" s="69"/>
      <c r="B51" s="69"/>
      <c r="C51" s="69"/>
      <c r="D51" s="69"/>
      <c r="E51" s="69"/>
      <c r="F51" s="35"/>
      <c r="G51" s="70"/>
      <c r="H51" s="70"/>
      <c r="I51" s="71"/>
      <c r="J51" s="72"/>
      <c r="K51" s="72"/>
      <c r="L51" s="35"/>
    </row>
    <row r="52" spans="1:13">
      <c r="A52" s="348" t="s">
        <v>147</v>
      </c>
      <c r="B52" s="349" t="s">
        <v>148</v>
      </c>
      <c r="C52" s="73" t="s">
        <v>149</v>
      </c>
      <c r="D52" s="361"/>
      <c r="E52" s="361"/>
      <c r="F52" s="74"/>
      <c r="G52" s="74"/>
      <c r="H52" s="71"/>
      <c r="I52" s="72"/>
      <c r="J52" s="72"/>
      <c r="K52" s="35"/>
    </row>
    <row r="53" spans="1:13" ht="11.45" customHeight="1">
      <c r="A53" s="75">
        <v>35063</v>
      </c>
      <c r="B53" s="76">
        <v>12026</v>
      </c>
      <c r="C53" s="77">
        <v>11086</v>
      </c>
      <c r="D53" s="362"/>
      <c r="E53" s="362"/>
      <c r="F53" s="78"/>
      <c r="G53" s="78"/>
      <c r="H53" s="71"/>
      <c r="I53" s="72"/>
      <c r="J53" s="72"/>
      <c r="K53" s="35"/>
    </row>
    <row r="54" spans="1:13" ht="11.45" customHeight="1">
      <c r="A54" s="79">
        <v>35429</v>
      </c>
      <c r="B54" s="78">
        <v>9115</v>
      </c>
      <c r="C54" s="80">
        <v>11062</v>
      </c>
      <c r="D54" s="362"/>
      <c r="E54" s="362"/>
      <c r="F54" s="78"/>
      <c r="G54" s="78"/>
      <c r="H54" s="81"/>
      <c r="I54" s="81"/>
      <c r="J54" s="81"/>
      <c r="K54" s="35"/>
    </row>
    <row r="55" spans="1:13" ht="11.45" customHeight="1">
      <c r="A55" s="79">
        <v>35794</v>
      </c>
      <c r="B55" s="78">
        <v>7600</v>
      </c>
      <c r="C55" s="80">
        <v>10375</v>
      </c>
      <c r="D55" s="362"/>
      <c r="E55" s="362"/>
      <c r="F55" s="78"/>
      <c r="G55" s="78"/>
      <c r="H55" s="81"/>
      <c r="I55" s="82"/>
      <c r="J55" s="82"/>
      <c r="K55" s="81"/>
    </row>
    <row r="56" spans="1:13" ht="11.45" customHeight="1">
      <c r="A56" s="79">
        <v>36159</v>
      </c>
      <c r="B56" s="83">
        <v>4081</v>
      </c>
      <c r="C56" s="84">
        <v>9650</v>
      </c>
      <c r="D56" s="363"/>
      <c r="E56" s="363"/>
      <c r="F56" s="83"/>
      <c r="G56" s="83"/>
      <c r="H56" s="81"/>
      <c r="I56" s="85"/>
      <c r="J56" s="85"/>
      <c r="K56" s="86"/>
    </row>
    <row r="57" spans="1:13" ht="11.45" customHeight="1">
      <c r="A57" s="79">
        <v>36524</v>
      </c>
      <c r="B57" s="78">
        <v>5078</v>
      </c>
      <c r="C57" s="80">
        <v>9197</v>
      </c>
      <c r="D57" s="362"/>
      <c r="E57" s="362"/>
      <c r="F57" s="78"/>
      <c r="G57" s="78"/>
      <c r="H57" s="81"/>
      <c r="I57" s="82"/>
      <c r="J57" s="82"/>
      <c r="K57" s="81"/>
    </row>
    <row r="58" spans="1:13" ht="11.45" hidden="1" customHeight="1">
      <c r="A58" s="79">
        <v>36768</v>
      </c>
      <c r="B58" s="78">
        <v>5217</v>
      </c>
      <c r="C58" s="80">
        <v>8908</v>
      </c>
      <c r="D58" s="362"/>
      <c r="E58" s="362"/>
      <c r="F58" s="78"/>
      <c r="G58" s="78"/>
      <c r="H58" s="81"/>
      <c r="I58" s="82"/>
      <c r="J58" s="82"/>
      <c r="K58" s="81"/>
    </row>
    <row r="59" spans="1:13" ht="11.45" hidden="1" customHeight="1">
      <c r="A59" s="79">
        <v>36798</v>
      </c>
      <c r="B59" s="78">
        <v>5323</v>
      </c>
      <c r="C59" s="80">
        <v>8911</v>
      </c>
      <c r="D59" s="362"/>
      <c r="E59" s="362"/>
      <c r="F59" s="83"/>
      <c r="G59" s="83"/>
      <c r="H59" s="81"/>
      <c r="I59" s="82"/>
      <c r="J59" s="82"/>
      <c r="K59" s="81"/>
    </row>
    <row r="60" spans="1:13" ht="11.45" hidden="1" customHeight="1">
      <c r="A60" s="79">
        <v>36829</v>
      </c>
      <c r="B60" s="78">
        <v>5331</v>
      </c>
      <c r="C60" s="80">
        <v>8932</v>
      </c>
      <c r="D60" s="362"/>
      <c r="E60" s="362"/>
      <c r="F60" s="70"/>
      <c r="G60" s="70"/>
      <c r="H60" s="81"/>
      <c r="I60" s="82"/>
      <c r="J60" s="82"/>
      <c r="K60" s="81"/>
    </row>
    <row r="61" spans="1:13" ht="11.45" hidden="1" customHeight="1">
      <c r="A61" s="79">
        <v>36859</v>
      </c>
      <c r="B61" s="78">
        <v>5595</v>
      </c>
      <c r="C61" s="80">
        <v>8909</v>
      </c>
      <c r="D61" s="362"/>
      <c r="E61" s="362"/>
      <c r="F61" s="70"/>
      <c r="G61" s="70"/>
      <c r="H61" s="81"/>
      <c r="I61" s="82"/>
      <c r="J61" s="82"/>
      <c r="K61" s="81"/>
    </row>
    <row r="62" spans="1:13" ht="11.45" customHeight="1">
      <c r="A62" s="79">
        <v>36890</v>
      </c>
      <c r="B62" s="78">
        <v>5719</v>
      </c>
      <c r="C62" s="80">
        <v>8872</v>
      </c>
      <c r="D62" s="362"/>
      <c r="E62" s="362"/>
      <c r="F62" s="70"/>
      <c r="G62" s="70"/>
      <c r="H62" s="81"/>
      <c r="I62" s="82"/>
      <c r="J62" s="82"/>
      <c r="K62" s="81"/>
    </row>
    <row r="63" spans="1:13" ht="11.45" hidden="1" customHeight="1">
      <c r="A63" s="79">
        <v>36891</v>
      </c>
      <c r="B63" s="78">
        <v>5489</v>
      </c>
      <c r="C63" s="80">
        <v>8837</v>
      </c>
      <c r="D63" s="362"/>
      <c r="E63" s="362"/>
      <c r="F63" s="235"/>
      <c r="G63" s="235"/>
      <c r="H63" s="81"/>
      <c r="I63" s="82"/>
      <c r="J63" s="82"/>
      <c r="K63" s="81"/>
    </row>
    <row r="64" spans="1:13" ht="11.45" hidden="1" customHeight="1">
      <c r="A64" s="79">
        <v>36892</v>
      </c>
      <c r="B64" s="78">
        <v>5676</v>
      </c>
      <c r="C64" s="80">
        <v>8776</v>
      </c>
      <c r="D64" s="362"/>
      <c r="E64" s="362"/>
      <c r="F64" s="235"/>
      <c r="G64" s="235"/>
      <c r="H64" s="81"/>
      <c r="I64" s="82"/>
      <c r="J64" s="82"/>
      <c r="K64" s="81"/>
    </row>
    <row r="65" spans="1:11" ht="11.45" hidden="1" customHeight="1">
      <c r="A65" s="79">
        <v>36893</v>
      </c>
      <c r="B65" s="78">
        <v>5670</v>
      </c>
      <c r="C65" s="80">
        <v>8729</v>
      </c>
      <c r="D65" s="362"/>
      <c r="E65" s="362"/>
      <c r="F65" s="235"/>
      <c r="G65" s="235"/>
      <c r="H65" s="81"/>
      <c r="I65" s="82"/>
      <c r="J65" s="82"/>
      <c r="K65" s="81"/>
    </row>
    <row r="66" spans="1:11" ht="11.45" hidden="1" customHeight="1">
      <c r="A66" s="79">
        <v>36894</v>
      </c>
      <c r="B66" s="78">
        <v>5628</v>
      </c>
      <c r="C66" s="80">
        <v>8683</v>
      </c>
      <c r="D66" s="362"/>
      <c r="E66" s="362"/>
      <c r="F66" s="235"/>
      <c r="G66" s="235"/>
      <c r="H66" s="81"/>
      <c r="I66" s="82"/>
      <c r="J66" s="82"/>
      <c r="K66" s="81"/>
    </row>
    <row r="67" spans="1:11" ht="11.45" hidden="1" customHeight="1">
      <c r="A67" s="79">
        <v>36895</v>
      </c>
      <c r="B67" s="78">
        <v>5921</v>
      </c>
      <c r="C67" s="80">
        <v>8664</v>
      </c>
      <c r="D67" s="362"/>
      <c r="E67" s="362"/>
      <c r="F67" s="235"/>
      <c r="G67" s="235"/>
      <c r="H67" s="81"/>
      <c r="I67" s="82"/>
      <c r="J67" s="82"/>
      <c r="K67" s="81"/>
    </row>
    <row r="68" spans="1:11" ht="11.45" hidden="1" customHeight="1">
      <c r="A68" s="79">
        <v>36896</v>
      </c>
      <c r="B68" s="83">
        <v>6338</v>
      </c>
      <c r="C68" s="84">
        <v>8601</v>
      </c>
      <c r="D68" s="364"/>
      <c r="E68" s="364"/>
      <c r="F68" s="235"/>
      <c r="G68" s="235"/>
      <c r="H68" s="81"/>
      <c r="I68" s="87"/>
      <c r="J68" s="87"/>
      <c r="K68" s="35"/>
    </row>
    <row r="69" spans="1:11" ht="11.45" hidden="1" customHeight="1">
      <c r="A69" s="79">
        <v>36897</v>
      </c>
      <c r="B69" s="88">
        <v>6173</v>
      </c>
      <c r="C69" s="89">
        <v>8551</v>
      </c>
      <c r="D69" s="365"/>
      <c r="E69" s="365"/>
      <c r="F69" s="235"/>
      <c r="G69" s="235"/>
      <c r="H69" s="81"/>
      <c r="I69" s="87"/>
      <c r="J69" s="87"/>
      <c r="K69" s="35"/>
    </row>
    <row r="70" spans="1:11" ht="11.45" hidden="1" customHeight="1">
      <c r="A70" s="79">
        <v>36898</v>
      </c>
      <c r="B70" s="88">
        <v>6480</v>
      </c>
      <c r="C70" s="89">
        <v>8497</v>
      </c>
      <c r="D70" s="365"/>
      <c r="E70" s="365"/>
      <c r="F70" s="235"/>
      <c r="G70" s="235"/>
      <c r="H70" s="81"/>
      <c r="I70" s="87"/>
      <c r="J70" s="87"/>
      <c r="K70" s="35"/>
    </row>
    <row r="71" spans="1:11" ht="11.45" hidden="1" customHeight="1">
      <c r="A71" s="79">
        <v>36899</v>
      </c>
      <c r="B71" s="88">
        <v>6343</v>
      </c>
      <c r="C71" s="89">
        <v>8454</v>
      </c>
      <c r="D71" s="365"/>
      <c r="E71" s="365"/>
      <c r="F71" s="235"/>
      <c r="G71" s="235"/>
      <c r="H71" s="81"/>
      <c r="I71" s="87"/>
      <c r="J71" s="87"/>
      <c r="K71" s="35"/>
    </row>
    <row r="72" spans="1:11" ht="11.45" hidden="1" customHeight="1">
      <c r="A72" s="79">
        <v>36900</v>
      </c>
      <c r="B72" s="88">
        <v>6567</v>
      </c>
      <c r="C72" s="89">
        <v>8410</v>
      </c>
      <c r="D72" s="365"/>
      <c r="E72" s="365"/>
      <c r="F72" s="235"/>
      <c r="G72" s="235"/>
      <c r="H72" s="81"/>
      <c r="I72" s="87"/>
      <c r="J72" s="87"/>
      <c r="K72" s="35"/>
    </row>
    <row r="73" spans="1:11" ht="11.45" customHeight="1">
      <c r="A73" s="79">
        <v>37255</v>
      </c>
      <c r="B73" s="83">
        <v>7024</v>
      </c>
      <c r="C73" s="373" t="s">
        <v>85</v>
      </c>
      <c r="D73" s="364"/>
      <c r="E73" s="364"/>
      <c r="F73" s="235"/>
      <c r="G73" s="235"/>
      <c r="H73" s="81"/>
      <c r="I73" s="87"/>
      <c r="J73" s="87"/>
      <c r="K73" s="35"/>
    </row>
    <row r="74" spans="1:11" s="93" customFormat="1" ht="11.45" hidden="1" customHeight="1">
      <c r="A74" s="94">
        <v>37286</v>
      </c>
      <c r="B74" s="90">
        <v>6697</v>
      </c>
      <c r="C74" s="373" t="s">
        <v>85</v>
      </c>
      <c r="D74" s="366"/>
      <c r="E74" s="366"/>
      <c r="F74" s="235"/>
      <c r="G74" s="235"/>
      <c r="H74" s="90"/>
      <c r="I74" s="85"/>
      <c r="J74" s="85"/>
      <c r="K74" s="86"/>
    </row>
    <row r="75" spans="1:11" s="93" customFormat="1" ht="11.45" hidden="1" customHeight="1">
      <c r="A75" s="94">
        <v>37314</v>
      </c>
      <c r="B75" s="90">
        <v>6933</v>
      </c>
      <c r="C75" s="373" t="s">
        <v>85</v>
      </c>
      <c r="D75" s="367"/>
      <c r="E75" s="367"/>
      <c r="F75" s="235"/>
      <c r="G75" s="235"/>
      <c r="H75" s="90"/>
      <c r="I75" s="95"/>
      <c r="J75" s="95"/>
      <c r="K75" s="86"/>
    </row>
    <row r="76" spans="1:11" s="93" customFormat="1" ht="11.45" hidden="1" customHeight="1">
      <c r="A76" s="96">
        <v>37345</v>
      </c>
      <c r="B76" s="97">
        <v>7246</v>
      </c>
      <c r="C76" s="373" t="s">
        <v>85</v>
      </c>
      <c r="D76" s="368"/>
      <c r="E76" s="368"/>
      <c r="F76" s="235"/>
      <c r="G76" s="235"/>
      <c r="H76" s="97"/>
      <c r="I76" s="95"/>
      <c r="J76" s="95"/>
      <c r="K76" s="41"/>
    </row>
    <row r="77" spans="1:11" ht="11.45" hidden="1" customHeight="1">
      <c r="A77" s="96">
        <v>37375</v>
      </c>
      <c r="B77" s="97">
        <v>7295</v>
      </c>
      <c r="C77" s="373" t="s">
        <v>85</v>
      </c>
      <c r="D77" s="368"/>
      <c r="E77" s="368"/>
      <c r="F77" s="235"/>
      <c r="G77" s="235"/>
      <c r="H77" s="99"/>
      <c r="I77" s="27"/>
      <c r="K77" s="4"/>
    </row>
    <row r="78" spans="1:11" ht="11.45" hidden="1" customHeight="1">
      <c r="A78" s="94">
        <v>37406</v>
      </c>
      <c r="B78" s="90">
        <v>6441</v>
      </c>
      <c r="C78" s="373" t="s">
        <v>85</v>
      </c>
      <c r="D78" s="369"/>
      <c r="E78" s="369"/>
      <c r="F78" s="235"/>
      <c r="G78" s="235"/>
      <c r="H78" s="100"/>
      <c r="I78" s="27"/>
      <c r="K78" s="4"/>
    </row>
    <row r="79" spans="1:11" ht="11.45" hidden="1" customHeight="1">
      <c r="A79" s="96">
        <v>37436</v>
      </c>
      <c r="B79" s="97">
        <v>6485</v>
      </c>
      <c r="C79" s="373" t="s">
        <v>85</v>
      </c>
      <c r="D79" s="368"/>
      <c r="E79" s="368"/>
      <c r="F79" s="235"/>
      <c r="G79" s="235"/>
      <c r="H79" s="14"/>
      <c r="I79" s="27"/>
      <c r="K79" s="4"/>
    </row>
    <row r="80" spans="1:11" ht="11.45" hidden="1" customHeight="1">
      <c r="A80" s="101">
        <v>37467</v>
      </c>
      <c r="B80" s="102">
        <v>6419</v>
      </c>
      <c r="C80" s="373" t="s">
        <v>85</v>
      </c>
      <c r="D80" s="370"/>
      <c r="E80" s="370"/>
      <c r="F80" s="235"/>
      <c r="G80" s="235"/>
      <c r="H80" s="14"/>
      <c r="I80" s="27"/>
      <c r="K80" s="4"/>
    </row>
    <row r="81" spans="1:11" ht="11.45" hidden="1" customHeight="1">
      <c r="A81" s="96">
        <v>37498</v>
      </c>
      <c r="B81" s="97">
        <v>6641</v>
      </c>
      <c r="C81" s="373" t="s">
        <v>85</v>
      </c>
      <c r="D81" s="368"/>
      <c r="E81" s="368"/>
      <c r="F81" s="235"/>
      <c r="G81" s="235"/>
      <c r="H81" s="14"/>
      <c r="I81" s="27"/>
      <c r="K81" s="4"/>
    </row>
    <row r="82" spans="1:11" s="22" customFormat="1" ht="11.45" hidden="1" customHeight="1">
      <c r="A82" s="96">
        <v>37528</v>
      </c>
      <c r="B82" s="97">
        <v>6957</v>
      </c>
      <c r="C82" s="373" t="s">
        <v>85</v>
      </c>
      <c r="D82" s="368"/>
      <c r="E82" s="368"/>
      <c r="F82" s="235"/>
      <c r="G82" s="235"/>
      <c r="H82" s="103"/>
      <c r="I82" s="104"/>
      <c r="J82" s="104"/>
    </row>
    <row r="83" spans="1:11" ht="11.45" hidden="1" customHeight="1">
      <c r="A83" s="96">
        <v>37559</v>
      </c>
      <c r="B83" s="97">
        <v>7171</v>
      </c>
      <c r="C83" s="373" t="s">
        <v>85</v>
      </c>
      <c r="D83" s="368"/>
      <c r="E83" s="368"/>
      <c r="F83" s="235"/>
      <c r="G83" s="235"/>
      <c r="H83" s="14"/>
      <c r="I83" s="27"/>
      <c r="K83" s="4"/>
    </row>
    <row r="84" spans="1:11" ht="11.45" hidden="1" customHeight="1">
      <c r="A84" s="96">
        <v>37589</v>
      </c>
      <c r="B84" s="97">
        <v>7051</v>
      </c>
      <c r="C84" s="373" t="s">
        <v>85</v>
      </c>
      <c r="D84" s="368"/>
      <c r="E84" s="368"/>
      <c r="F84" s="235"/>
      <c r="G84" s="235"/>
      <c r="H84" s="14"/>
      <c r="I84" s="105"/>
      <c r="J84" s="105"/>
      <c r="K84" s="4"/>
    </row>
    <row r="85" spans="1:11" ht="11.45" customHeight="1">
      <c r="A85" s="96">
        <v>37620</v>
      </c>
      <c r="B85" s="90">
        <v>7732</v>
      </c>
      <c r="C85" s="373" t="s">
        <v>85</v>
      </c>
      <c r="D85" s="367"/>
      <c r="E85" s="367"/>
      <c r="F85" s="235"/>
      <c r="G85" s="235"/>
      <c r="H85" s="14"/>
      <c r="I85" s="105"/>
      <c r="J85" s="105"/>
      <c r="K85" s="4"/>
    </row>
    <row r="86" spans="1:11" s="93" customFormat="1" ht="11.45" hidden="1" customHeight="1">
      <c r="A86" s="96">
        <v>37651</v>
      </c>
      <c r="B86" s="90">
        <v>7524</v>
      </c>
      <c r="C86" s="106">
        <v>7633</v>
      </c>
      <c r="D86" s="367"/>
      <c r="E86" s="367"/>
      <c r="F86" s="235"/>
      <c r="G86" s="235"/>
      <c r="H86" s="91"/>
      <c r="I86" s="107"/>
      <c r="J86" s="107"/>
    </row>
    <row r="87" spans="1:11" ht="11.45" hidden="1" customHeight="1">
      <c r="A87" s="96">
        <v>37679</v>
      </c>
      <c r="B87" s="97">
        <v>7330</v>
      </c>
      <c r="C87" s="108">
        <v>7573</v>
      </c>
      <c r="D87" s="371"/>
      <c r="E87" s="371"/>
      <c r="F87" s="235"/>
      <c r="G87" s="235"/>
      <c r="H87" s="14"/>
      <c r="I87" s="105"/>
      <c r="J87" s="105"/>
      <c r="K87" s="4"/>
    </row>
    <row r="88" spans="1:11" ht="11.45" hidden="1" customHeight="1">
      <c r="A88" s="96">
        <v>37710</v>
      </c>
      <c r="B88" s="97">
        <v>7638</v>
      </c>
      <c r="C88" s="108">
        <v>7525</v>
      </c>
      <c r="D88" s="371"/>
      <c r="E88" s="371"/>
      <c r="F88" s="235"/>
      <c r="G88" s="235"/>
      <c r="H88" s="14"/>
      <c r="I88" s="105"/>
      <c r="J88" s="105"/>
      <c r="K88" s="4"/>
    </row>
    <row r="89" spans="1:11" ht="11.45" hidden="1" customHeight="1">
      <c r="A89" s="96">
        <v>37740</v>
      </c>
      <c r="B89" s="97">
        <v>8080</v>
      </c>
      <c r="C89" s="108">
        <v>7484</v>
      </c>
      <c r="D89" s="371"/>
      <c r="E89" s="371"/>
      <c r="F89" s="235"/>
      <c r="G89" s="235"/>
      <c r="H89" s="14"/>
      <c r="I89" s="105"/>
      <c r="J89" s="105"/>
      <c r="K89" s="4"/>
    </row>
    <row r="90" spans="1:11" ht="0.75" hidden="1" customHeight="1">
      <c r="A90" s="101">
        <v>37771</v>
      </c>
      <c r="B90" s="102">
        <v>8234</v>
      </c>
      <c r="C90" s="234">
        <v>7425</v>
      </c>
      <c r="D90" s="372"/>
      <c r="E90" s="372"/>
      <c r="F90" s="235"/>
      <c r="G90" s="235"/>
      <c r="H90" s="14"/>
      <c r="I90" s="105"/>
      <c r="J90" s="105"/>
      <c r="K90" s="4"/>
    </row>
    <row r="91" spans="1:11" ht="11.45" hidden="1" customHeight="1">
      <c r="A91" s="96">
        <v>37801</v>
      </c>
      <c r="B91" s="97">
        <v>8011</v>
      </c>
      <c r="C91" s="108">
        <v>7388</v>
      </c>
      <c r="D91" s="371"/>
      <c r="E91" s="371"/>
      <c r="F91" s="235"/>
      <c r="G91" s="235"/>
      <c r="H91" s="14"/>
      <c r="I91" s="105"/>
      <c r="J91" s="105"/>
      <c r="K91" s="4"/>
    </row>
    <row r="92" spans="1:11" ht="11.45" hidden="1" customHeight="1">
      <c r="A92" s="96">
        <v>37832</v>
      </c>
      <c r="B92" s="97">
        <v>7838</v>
      </c>
      <c r="C92" s="108">
        <v>7352</v>
      </c>
      <c r="D92" s="371"/>
      <c r="E92" s="371"/>
      <c r="F92" s="235"/>
      <c r="G92" s="235"/>
      <c r="H92" s="14"/>
      <c r="I92" s="105"/>
      <c r="J92" s="105"/>
      <c r="K92" s="4"/>
    </row>
    <row r="93" spans="1:11" ht="11.45" hidden="1" customHeight="1">
      <c r="A93" s="96">
        <v>37863</v>
      </c>
      <c r="B93" s="97">
        <v>7622</v>
      </c>
      <c r="C93" s="108">
        <v>7327</v>
      </c>
      <c r="D93" s="371"/>
      <c r="E93" s="371"/>
      <c r="F93" s="235"/>
      <c r="G93" s="235"/>
      <c r="H93" s="14"/>
      <c r="I93" s="105"/>
      <c r="J93" s="105"/>
      <c r="K93" s="4"/>
    </row>
    <row r="94" spans="1:11" ht="0.75" hidden="1" customHeight="1">
      <c r="A94" s="101">
        <v>37893</v>
      </c>
      <c r="B94" s="102">
        <v>7552</v>
      </c>
      <c r="C94" s="234">
        <v>7298</v>
      </c>
      <c r="D94" s="372"/>
      <c r="E94" s="372"/>
      <c r="F94" s="235"/>
      <c r="G94" s="235"/>
      <c r="H94" s="14"/>
      <c r="I94" s="105"/>
      <c r="J94" s="105"/>
      <c r="K94" s="4"/>
    </row>
    <row r="95" spans="1:11" ht="11.45" hidden="1" customHeight="1">
      <c r="A95" s="96">
        <v>37924</v>
      </c>
      <c r="B95" s="97">
        <v>7345</v>
      </c>
      <c r="C95" s="108">
        <v>7246</v>
      </c>
      <c r="D95" s="368"/>
      <c r="E95" s="368"/>
      <c r="F95" s="235"/>
      <c r="G95" s="235"/>
      <c r="H95" s="14"/>
      <c r="I95" s="105"/>
      <c r="J95" s="105"/>
      <c r="K95" s="4"/>
    </row>
    <row r="96" spans="1:11" ht="11.45" hidden="1" customHeight="1">
      <c r="A96" s="101">
        <v>37954</v>
      </c>
      <c r="B96" s="102">
        <v>6843</v>
      </c>
      <c r="C96" s="234">
        <v>7203</v>
      </c>
      <c r="D96" s="370"/>
      <c r="E96" s="370"/>
      <c r="F96" s="235"/>
      <c r="G96" s="235"/>
      <c r="H96" s="14"/>
      <c r="I96" s="105"/>
      <c r="J96" s="105"/>
      <c r="K96" s="4"/>
    </row>
    <row r="97" spans="1:11" ht="11.45" customHeight="1">
      <c r="A97" s="96">
        <v>37985</v>
      </c>
      <c r="B97" s="97">
        <v>6842</v>
      </c>
      <c r="C97" s="108">
        <v>7182</v>
      </c>
      <c r="D97" s="368"/>
      <c r="E97" s="368"/>
      <c r="F97" s="235"/>
      <c r="G97" s="235"/>
      <c r="H97" s="91"/>
      <c r="I97" s="107"/>
      <c r="J97" s="107"/>
      <c r="K97" s="93"/>
    </row>
    <row r="98" spans="1:11" ht="11.45" hidden="1" customHeight="1">
      <c r="A98" s="96">
        <v>38016</v>
      </c>
      <c r="B98" s="97">
        <v>5587</v>
      </c>
      <c r="C98" s="108">
        <v>7126</v>
      </c>
      <c r="D98" s="368"/>
      <c r="E98" s="368"/>
      <c r="F98" s="235"/>
      <c r="G98" s="235"/>
      <c r="H98" s="14"/>
      <c r="I98" s="105"/>
      <c r="J98" s="105"/>
      <c r="K98" s="4"/>
    </row>
    <row r="99" spans="1:11" ht="11.25" hidden="1" customHeight="1">
      <c r="A99" s="101">
        <v>38044</v>
      </c>
      <c r="B99" s="102">
        <v>5799</v>
      </c>
      <c r="C99" s="234">
        <v>7096</v>
      </c>
      <c r="D99" s="370"/>
      <c r="E99" s="370"/>
      <c r="F99" s="235"/>
      <c r="G99" s="235"/>
      <c r="H99" s="14"/>
      <c r="I99" s="105"/>
      <c r="J99" s="105"/>
      <c r="K99" s="4"/>
    </row>
    <row r="100" spans="1:11" ht="11.45" hidden="1" customHeight="1">
      <c r="A100" s="101">
        <v>38076</v>
      </c>
      <c r="B100" s="102">
        <v>5664</v>
      </c>
      <c r="C100" s="234">
        <v>7066</v>
      </c>
      <c r="D100" s="370"/>
      <c r="E100" s="370"/>
      <c r="F100" s="235"/>
      <c r="G100" s="235"/>
      <c r="H100" s="14"/>
      <c r="I100" s="105"/>
      <c r="J100" s="105"/>
      <c r="K100" s="4"/>
    </row>
    <row r="101" spans="1:11" ht="11.45" hidden="1" customHeight="1">
      <c r="A101" s="301">
        <v>38106</v>
      </c>
      <c r="B101" s="102">
        <v>5811</v>
      </c>
      <c r="C101" s="234">
        <v>7043</v>
      </c>
      <c r="D101" s="370"/>
      <c r="E101" s="370"/>
      <c r="F101" s="235"/>
      <c r="G101" s="235"/>
      <c r="H101" s="14"/>
      <c r="I101" s="105"/>
      <c r="J101" s="105"/>
      <c r="K101" s="4"/>
    </row>
    <row r="102" spans="1:11" hidden="1">
      <c r="A102" s="101">
        <v>38137</v>
      </c>
      <c r="B102" s="102">
        <v>5906</v>
      </c>
      <c r="C102" s="234">
        <v>7018</v>
      </c>
      <c r="D102" s="370"/>
      <c r="E102" s="370"/>
      <c r="F102" s="235"/>
      <c r="G102" s="235"/>
      <c r="H102" s="14"/>
      <c r="I102" s="105"/>
      <c r="J102" s="105"/>
      <c r="K102" s="14"/>
    </row>
    <row r="103" spans="1:11" hidden="1">
      <c r="A103" s="101">
        <v>38167</v>
      </c>
      <c r="B103" s="88">
        <v>5007</v>
      </c>
      <c r="C103" s="234">
        <v>6989</v>
      </c>
      <c r="D103" s="372"/>
      <c r="E103" s="372"/>
      <c r="F103" s="235"/>
      <c r="G103" s="235"/>
      <c r="H103" s="91"/>
      <c r="I103" s="107"/>
      <c r="J103" s="107"/>
      <c r="K103" s="93"/>
    </row>
    <row r="104" spans="1:11" hidden="1">
      <c r="A104" s="101">
        <v>38198</v>
      </c>
      <c r="B104" s="88">
        <v>5019</v>
      </c>
      <c r="C104" s="234">
        <v>6947</v>
      </c>
      <c r="D104" s="372"/>
      <c r="E104" s="372"/>
      <c r="F104" s="235"/>
      <c r="G104" s="235"/>
      <c r="H104" s="91"/>
      <c r="I104" s="107"/>
      <c r="J104" s="107"/>
      <c r="K104" s="93"/>
    </row>
    <row r="105" spans="1:11" hidden="1">
      <c r="A105" s="101">
        <v>38229</v>
      </c>
      <c r="B105" s="88">
        <v>5067</v>
      </c>
      <c r="C105" s="234">
        <v>6908</v>
      </c>
      <c r="D105" s="372"/>
      <c r="E105" s="372"/>
      <c r="F105" s="22"/>
      <c r="H105" s="109"/>
      <c r="I105" s="27"/>
      <c r="K105" s="4"/>
    </row>
    <row r="106" spans="1:11" hidden="1">
      <c r="A106" s="101">
        <v>38259</v>
      </c>
      <c r="B106" s="88">
        <v>4360</v>
      </c>
      <c r="C106" s="234">
        <v>6871</v>
      </c>
      <c r="D106" s="372"/>
      <c r="E106" s="372"/>
      <c r="F106" s="22"/>
      <c r="H106" s="109"/>
      <c r="I106" s="27"/>
      <c r="K106" s="4"/>
    </row>
    <row r="107" spans="1:11" hidden="1">
      <c r="A107" s="101">
        <v>38290</v>
      </c>
      <c r="B107" s="102">
        <v>3464</v>
      </c>
      <c r="C107" s="234">
        <v>6818</v>
      </c>
      <c r="D107" s="372"/>
      <c r="E107" s="372"/>
      <c r="F107" s="22"/>
      <c r="H107" s="109"/>
      <c r="I107" s="27"/>
      <c r="K107" s="4"/>
    </row>
    <row r="108" spans="1:11" hidden="1">
      <c r="A108" s="101">
        <v>38320</v>
      </c>
      <c r="B108" s="102">
        <v>3353</v>
      </c>
      <c r="C108" s="234">
        <v>6799</v>
      </c>
      <c r="D108" s="372"/>
      <c r="E108" s="372"/>
      <c r="F108" s="22"/>
      <c r="H108" s="109"/>
      <c r="I108" s="27"/>
      <c r="K108" s="4"/>
    </row>
    <row r="109" spans="1:11">
      <c r="A109" s="96">
        <v>38351</v>
      </c>
      <c r="B109" s="97">
        <v>3656</v>
      </c>
      <c r="C109" s="108">
        <v>6767</v>
      </c>
      <c r="D109" s="371"/>
      <c r="E109" s="371"/>
      <c r="F109" s="22"/>
      <c r="H109" s="109"/>
      <c r="I109" s="27"/>
      <c r="K109" s="4"/>
    </row>
    <row r="110" spans="1:11" hidden="1">
      <c r="A110" s="101">
        <v>38382</v>
      </c>
      <c r="B110" s="102">
        <v>3206</v>
      </c>
      <c r="C110" s="234">
        <v>6724</v>
      </c>
      <c r="D110" s="364"/>
      <c r="E110" s="364"/>
      <c r="F110" s="22"/>
      <c r="H110" s="109"/>
      <c r="I110" s="27"/>
      <c r="K110" s="4"/>
    </row>
    <row r="111" spans="1:11" hidden="1">
      <c r="A111" s="101">
        <v>38410</v>
      </c>
      <c r="B111" s="102">
        <v>3223</v>
      </c>
      <c r="C111" s="234">
        <v>6683</v>
      </c>
      <c r="D111" s="371"/>
      <c r="E111" s="371"/>
      <c r="F111" s="235"/>
      <c r="G111" s="235"/>
      <c r="H111" s="26"/>
      <c r="I111" s="92"/>
      <c r="J111" s="92"/>
      <c r="K111" s="93"/>
    </row>
    <row r="112" spans="1:11" hidden="1">
      <c r="A112" s="101">
        <v>38441</v>
      </c>
      <c r="B112" s="102">
        <v>3248</v>
      </c>
      <c r="C112" s="234">
        <v>6648</v>
      </c>
      <c r="D112" s="371"/>
      <c r="E112" s="371"/>
      <c r="F112" s="22"/>
      <c r="H112" s="109"/>
      <c r="I112" s="27"/>
      <c r="K112" s="4"/>
    </row>
    <row r="113" spans="1:11" hidden="1">
      <c r="A113" s="101">
        <v>38471</v>
      </c>
      <c r="B113" s="102">
        <v>4035</v>
      </c>
      <c r="C113" s="234">
        <v>6626</v>
      </c>
      <c r="D113" s="371"/>
      <c r="E113" s="371"/>
      <c r="F113" s="22"/>
      <c r="H113" s="109"/>
      <c r="I113" s="27"/>
      <c r="K113" s="4"/>
    </row>
    <row r="114" spans="1:11" hidden="1">
      <c r="A114" s="101">
        <v>38502</v>
      </c>
      <c r="B114" s="102">
        <v>4089</v>
      </c>
      <c r="C114" s="234">
        <v>6596</v>
      </c>
      <c r="D114" s="371"/>
      <c r="E114" s="371"/>
      <c r="F114" s="22"/>
      <c r="H114" s="109"/>
      <c r="I114" s="27"/>
      <c r="K114" s="4"/>
    </row>
    <row r="115" spans="1:11" hidden="1">
      <c r="A115" s="101">
        <v>38532</v>
      </c>
      <c r="B115" s="102">
        <v>4165</v>
      </c>
      <c r="C115" s="234">
        <v>6580</v>
      </c>
      <c r="D115" s="371"/>
      <c r="E115" s="371"/>
      <c r="F115" s="22"/>
      <c r="H115" s="109"/>
      <c r="I115" s="27"/>
      <c r="K115" s="4"/>
    </row>
    <row r="116" spans="1:11" hidden="1">
      <c r="A116" s="101">
        <v>38563</v>
      </c>
      <c r="B116" s="102">
        <v>4558</v>
      </c>
      <c r="C116" s="234">
        <v>6539</v>
      </c>
      <c r="D116" s="371"/>
      <c r="E116" s="371"/>
      <c r="F116" s="22"/>
      <c r="H116" s="109"/>
      <c r="I116" s="27"/>
      <c r="K116" s="4"/>
    </row>
    <row r="117" spans="1:11" hidden="1">
      <c r="A117" s="101">
        <v>38594</v>
      </c>
      <c r="B117" s="102">
        <v>4641</v>
      </c>
      <c r="C117" s="234">
        <v>6391</v>
      </c>
      <c r="D117" s="371"/>
      <c r="E117" s="371"/>
      <c r="F117" s="22"/>
      <c r="H117" s="109"/>
      <c r="I117" s="27"/>
      <c r="K117" s="4"/>
    </row>
    <row r="118" spans="1:11" hidden="1">
      <c r="A118" s="101">
        <v>38624</v>
      </c>
      <c r="B118" s="102">
        <v>4591</v>
      </c>
      <c r="C118" s="234">
        <v>6296</v>
      </c>
      <c r="D118" s="364"/>
      <c r="E118" s="364"/>
      <c r="F118" s="22"/>
      <c r="H118" s="109"/>
      <c r="I118" s="27"/>
      <c r="K118" s="4"/>
    </row>
    <row r="119" spans="1:11" hidden="1">
      <c r="A119" s="359">
        <v>38655</v>
      </c>
      <c r="B119" s="358">
        <v>4701</v>
      </c>
      <c r="C119" s="360">
        <v>6192</v>
      </c>
      <c r="D119" s="364"/>
      <c r="E119" s="364"/>
      <c r="F119" s="22"/>
      <c r="H119" s="109"/>
      <c r="I119" s="27"/>
      <c r="K119" s="4"/>
    </row>
    <row r="120" spans="1:11">
      <c r="A120" s="375">
        <v>38685</v>
      </c>
      <c r="B120" s="376">
        <v>4746</v>
      </c>
      <c r="C120" s="377">
        <v>6133</v>
      </c>
      <c r="D120" s="364"/>
      <c r="E120" s="364"/>
      <c r="F120" s="22"/>
      <c r="H120" s="109"/>
      <c r="I120" s="27"/>
      <c r="K120" s="4"/>
    </row>
    <row r="121" spans="1:11" s="93" customFormat="1">
      <c r="A121" s="96">
        <v>38716</v>
      </c>
      <c r="B121" s="97">
        <v>5192</v>
      </c>
      <c r="C121" s="108">
        <v>6073</v>
      </c>
      <c r="D121" s="374"/>
      <c r="E121" s="364"/>
      <c r="F121" s="235"/>
      <c r="G121" s="235"/>
      <c r="H121" s="26"/>
      <c r="I121" s="92"/>
      <c r="J121" s="92"/>
    </row>
    <row r="122" spans="1:11" s="93" customFormat="1" ht="12.75" hidden="1" customHeight="1">
      <c r="A122" s="359">
        <v>38747</v>
      </c>
      <c r="B122" s="358">
        <v>4751</v>
      </c>
      <c r="C122" s="360">
        <v>6022</v>
      </c>
      <c r="D122" s="374"/>
      <c r="E122" s="364"/>
      <c r="F122" s="235"/>
      <c r="G122" s="235"/>
      <c r="H122" s="26"/>
      <c r="I122" s="92"/>
      <c r="J122" s="92"/>
    </row>
    <row r="123" spans="1:11" s="93" customFormat="1" ht="12.75" hidden="1" customHeight="1">
      <c r="A123" s="359">
        <v>38775</v>
      </c>
      <c r="B123" s="358">
        <v>4600</v>
      </c>
      <c r="C123" s="360">
        <v>5951</v>
      </c>
      <c r="D123" s="374"/>
      <c r="E123" s="364"/>
      <c r="F123" s="235"/>
      <c r="G123" s="235"/>
      <c r="H123" s="26"/>
      <c r="I123" s="92"/>
      <c r="J123" s="92"/>
    </row>
    <row r="124" spans="1:11" hidden="1">
      <c r="A124" s="359">
        <v>38806</v>
      </c>
      <c r="B124" s="358">
        <v>4823</v>
      </c>
      <c r="C124" s="360">
        <v>5909</v>
      </c>
      <c r="D124" s="374"/>
      <c r="E124" s="364"/>
      <c r="F124" s="22"/>
      <c r="H124" s="109"/>
      <c r="I124" s="27"/>
      <c r="K124" s="4"/>
    </row>
    <row r="125" spans="1:11" s="93" customFormat="1" hidden="1">
      <c r="A125" s="359">
        <v>38836</v>
      </c>
      <c r="B125" s="358">
        <v>4980</v>
      </c>
      <c r="C125" s="360">
        <v>5835</v>
      </c>
      <c r="D125" s="374"/>
      <c r="E125" s="364"/>
      <c r="F125" s="235"/>
      <c r="G125" s="235"/>
      <c r="H125" s="26"/>
      <c r="I125" s="92"/>
      <c r="J125" s="92"/>
    </row>
    <row r="126" spans="1:11" hidden="1">
      <c r="A126" s="359">
        <v>38867</v>
      </c>
      <c r="B126" s="358">
        <v>4558</v>
      </c>
      <c r="C126" s="360">
        <v>5762</v>
      </c>
      <c r="D126" s="374"/>
      <c r="E126" s="364"/>
      <c r="F126" s="330"/>
      <c r="I126" s="109"/>
    </row>
    <row r="127" spans="1:11" hidden="1">
      <c r="A127" s="359">
        <v>38897</v>
      </c>
      <c r="B127" s="358">
        <v>4563</v>
      </c>
      <c r="C127" s="360">
        <v>5709</v>
      </c>
      <c r="D127" s="374"/>
      <c r="E127" s="364"/>
      <c r="F127" s="330"/>
      <c r="I127" s="109"/>
    </row>
    <row r="128" spans="1:11" hidden="1">
      <c r="A128" s="359">
        <v>38928</v>
      </c>
      <c r="B128" s="358">
        <v>4832</v>
      </c>
      <c r="C128" s="360">
        <v>5673</v>
      </c>
      <c r="D128" s="374"/>
      <c r="E128" s="97"/>
      <c r="F128" s="330"/>
      <c r="I128" s="109"/>
    </row>
    <row r="129" spans="1:9" hidden="1">
      <c r="A129" s="359">
        <v>38959</v>
      </c>
      <c r="B129" s="358">
        <v>4512</v>
      </c>
      <c r="C129" s="360">
        <v>5631</v>
      </c>
      <c r="D129" s="374"/>
      <c r="E129" s="97"/>
      <c r="F129" s="330"/>
      <c r="I129" s="109"/>
    </row>
    <row r="130" spans="1:9" hidden="1">
      <c r="A130" s="359">
        <v>38989</v>
      </c>
      <c r="B130" s="358">
        <v>4913</v>
      </c>
      <c r="C130" s="360">
        <v>5582</v>
      </c>
      <c r="D130" s="374"/>
      <c r="E130" s="97"/>
      <c r="F130" s="330"/>
      <c r="I130" s="109"/>
    </row>
    <row r="131" spans="1:9">
      <c r="A131" s="378">
        <v>39020</v>
      </c>
      <c r="B131" s="379">
        <v>4767</v>
      </c>
      <c r="C131" s="380">
        <v>5544</v>
      </c>
      <c r="D131" s="374"/>
      <c r="E131" s="97"/>
      <c r="F131" s="330"/>
      <c r="I131" s="109"/>
    </row>
    <row r="132" spans="1:9">
      <c r="A132" s="329"/>
      <c r="B132" s="81"/>
      <c r="C132" s="81"/>
      <c r="D132" s="81"/>
      <c r="E132" s="81"/>
      <c r="F132" s="330"/>
      <c r="I132" s="109"/>
    </row>
    <row r="133" spans="1:9">
      <c r="A133" s="329"/>
      <c r="B133" s="81"/>
      <c r="C133" s="81"/>
      <c r="D133" s="81"/>
      <c r="E133" s="81"/>
      <c r="F133" s="330"/>
      <c r="I133" s="109"/>
    </row>
    <row r="134" spans="1:9">
      <c r="A134" s="328"/>
      <c r="I134" s="109"/>
    </row>
    <row r="135" spans="1:9">
      <c r="I135" s="109"/>
    </row>
    <row r="136" spans="1:9">
      <c r="I136" s="109"/>
    </row>
  </sheetData>
  <customSheetViews>
    <customSheetView guid="{763437CC-26D4-4164-810A-C9635FD11083}" showGridLines="0">
      <pane ySplit="7" topLeftCell="A30" activePane="bottomLeft" state="frozen"/>
      <selection pane="bottomLeft" activeCell="A52" sqref="A52"/>
      <pageMargins left="0.59055118110236227" right="3.937007874015748E-2" top="0.19685039370078741" bottom="3.937007874015748E-2" header="0.56999999999999995" footer="0.31496062992125984"/>
      <pageSetup paperSize="9" scale="85" orientation="portrait" verticalDpi="4294967292" r:id="rId1"/>
      <headerFooter alignWithMargins="0"/>
    </customSheetView>
    <customSheetView guid="{9C92D4E2-4DB1-4DE8-9035-495C8A323D7B}" showPageBreaks="1" showGridLines="0" hiddenRows="1" hiddenColumns="1" showRuler="0">
      <pane ySplit="7" topLeftCell="A8" activePane="bottomLeft" state="frozen"/>
      <selection pane="bottomLeft" activeCell="F1" sqref="F1:F65536"/>
      <pageMargins left="0.59055118110236227" right="3.937007874015748E-2" top="0.19685039370078741" bottom="3.937007874015748E-2" header="0.56999999999999995" footer="0.31496062992125984"/>
      <pageSetup paperSize="9" scale="85" orientation="portrait" verticalDpi="4294967292" r:id="rId2"/>
      <headerFooter alignWithMargins="0"/>
    </customSheetView>
    <customSheetView guid="{1EDB9987-0F37-49A1-B796-5C7B79F3B490}" showPageBreaks="1" showGridLines="0" fitToPage="1" printArea="1" hiddenRows="1" hiddenColumns="1" showRuler="0">
      <pane ySplit="6" topLeftCell="A7" activePane="bottomLeft" state="frozen"/>
      <selection pane="bottomLeft" activeCell="F8" sqref="F8"/>
      <pageMargins left="0.59055118110236227" right="3.937007874015748E-2" top="0.19685039370078741" bottom="3.937007874015748E-2" header="0.56999999999999995" footer="0.31496062992125984"/>
      <pageSetup paperSize="9" scale="86" orientation="portrait" verticalDpi="4294967292" r:id="rId3"/>
      <headerFooter alignWithMargins="0"/>
    </customSheetView>
    <customSheetView guid="{DE0C6F0D-7C2F-4B97-AA16-0EC5D85A2B96}" showPageBreaks="1" showGridLines="0" hiddenRows="1" hiddenColumns="1">
      <pane ySplit="7" topLeftCell="A8" activePane="bottomLeft" state="frozen"/>
      <selection pane="bottomLeft" activeCell="F12" sqref="F12"/>
      <pageMargins left="0.59055118110236227" right="3.937007874015748E-2" top="0.19685039370078741" bottom="3.937007874015748E-2" header="0.56999999999999995" footer="0.31496062992125984"/>
      <pageSetup paperSize="9" scale="85" orientation="portrait" verticalDpi="4294967292" r:id="rId4"/>
      <headerFooter alignWithMargins="0"/>
    </customSheetView>
  </customSheetViews>
  <phoneticPr fontId="21" type="noConversion"/>
  <pageMargins left="0.59055118110236227" right="3.937007874015748E-2" top="0.19685039370078741" bottom="3.937007874015748E-2" header="0.55118110236220474" footer="0.31496062992125984"/>
  <pageSetup paperSize="9" scale="74" orientation="portrait" verticalDpi="4294967292" r:id="rId5"/>
  <headerFooter alignWithMargins="0"/>
  <drawing r:id="rId6"/>
  <legacyDrawing r:id="rId7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T218"/>
  <sheetViews>
    <sheetView showGridLines="0" tabSelected="1" zoomScaleNormal="100" workbookViewId="0">
      <pane ySplit="5" topLeftCell="A63" activePane="bottomLeft" state="frozen"/>
      <selection pane="bottomLeft" activeCell="M67" sqref="M67"/>
    </sheetView>
  </sheetViews>
  <sheetFormatPr defaultRowHeight="12.75"/>
  <cols>
    <col min="1" max="1" width="34.83203125" style="116" customWidth="1"/>
    <col min="2" max="2" width="10.83203125" style="119" customWidth="1"/>
    <col min="3" max="3" width="12" style="119" customWidth="1"/>
    <col min="4" max="6" width="10.83203125" style="121" customWidth="1"/>
    <col min="7" max="7" width="12.83203125" style="120" customWidth="1"/>
    <col min="8" max="8" width="10.83203125" style="119" customWidth="1"/>
    <col min="9" max="9" width="9" style="116" customWidth="1"/>
    <col min="10" max="16384" width="9.33203125" style="116"/>
  </cols>
  <sheetData>
    <row r="1" spans="1:9" ht="15">
      <c r="A1" s="110"/>
      <c r="B1" s="111"/>
      <c r="C1" s="112"/>
      <c r="D1" s="113"/>
      <c r="G1" s="114"/>
      <c r="H1" s="115" t="s">
        <v>26</v>
      </c>
    </row>
    <row r="2" spans="1:9" ht="18">
      <c r="A2" s="117" t="s">
        <v>161</v>
      </c>
      <c r="B2" s="118"/>
      <c r="C2" s="113"/>
      <c r="D2" s="113"/>
    </row>
    <row r="3" spans="1:9">
      <c r="A3" s="123"/>
      <c r="B3" s="124"/>
      <c r="C3" s="125"/>
      <c r="D3" s="113"/>
    </row>
    <row r="4" spans="1:9" ht="17.25" customHeight="1">
      <c r="A4" s="126"/>
      <c r="B4" s="127" t="s">
        <v>28</v>
      </c>
      <c r="C4" s="127" t="s">
        <v>29</v>
      </c>
      <c r="D4" s="127" t="s">
        <v>65</v>
      </c>
      <c r="E4" s="128" t="s">
        <v>30</v>
      </c>
      <c r="F4" s="128" t="s">
        <v>30</v>
      </c>
      <c r="G4" s="129" t="s">
        <v>157</v>
      </c>
      <c r="H4" s="128" t="s">
        <v>43</v>
      </c>
    </row>
    <row r="5" spans="1:9">
      <c r="A5" s="126"/>
      <c r="B5" s="130">
        <v>2010</v>
      </c>
      <c r="C5" s="130">
        <v>2010</v>
      </c>
      <c r="D5" s="130" t="s">
        <v>135</v>
      </c>
      <c r="E5" s="131" t="s">
        <v>152</v>
      </c>
      <c r="F5" s="131" t="s">
        <v>154</v>
      </c>
      <c r="G5" s="132" t="s">
        <v>158</v>
      </c>
      <c r="H5" s="130"/>
    </row>
    <row r="6" spans="1:9">
      <c r="A6" s="133" t="s">
        <v>27</v>
      </c>
      <c r="B6" s="303"/>
      <c r="C6" s="134"/>
      <c r="D6" s="134"/>
      <c r="E6" s="134"/>
      <c r="F6" s="134"/>
      <c r="G6" s="136"/>
      <c r="H6" s="135"/>
    </row>
    <row r="7" spans="1:9" ht="3.75" customHeight="1">
      <c r="A7" s="133"/>
      <c r="B7" s="303"/>
      <c r="C7" s="134"/>
      <c r="D7" s="134"/>
      <c r="E7" s="134"/>
      <c r="F7" s="134"/>
      <c r="G7" s="136"/>
      <c r="H7" s="135"/>
    </row>
    <row r="8" spans="1:9">
      <c r="A8" s="133" t="s">
        <v>62</v>
      </c>
      <c r="B8" s="304"/>
      <c r="C8" s="137"/>
      <c r="D8" s="137"/>
      <c r="E8" s="137"/>
      <c r="F8" s="137"/>
      <c r="G8" s="139"/>
      <c r="H8" s="138"/>
      <c r="I8" s="140"/>
    </row>
    <row r="9" spans="1:9">
      <c r="A9" s="141" t="s">
        <v>63</v>
      </c>
      <c r="B9" s="305">
        <f>[4]Sammanfattning!$C$7</f>
        <v>444.31499999999994</v>
      </c>
      <c r="C9" s="142">
        <f>SUM(D9-165)</f>
        <v>535</v>
      </c>
      <c r="D9" s="142">
        <v>700</v>
      </c>
      <c r="E9" s="142">
        <f>[5]Sammanfattning!$E$7</f>
        <v>710</v>
      </c>
      <c r="F9" s="142">
        <f>SUM([6]Sammanfattning!$F$7)</f>
        <v>764</v>
      </c>
      <c r="G9" s="143">
        <f t="shared" ref="G9:G15" si="0">SUM(F9/D9)</f>
        <v>1.0914285714285714</v>
      </c>
      <c r="H9" s="144">
        <f t="shared" ref="H9:H15" si="1">SUM(C9-B9)</f>
        <v>90.685000000000059</v>
      </c>
      <c r="I9" s="140"/>
    </row>
    <row r="10" spans="1:9" s="122" customFormat="1">
      <c r="A10" s="145" t="s">
        <v>139</v>
      </c>
      <c r="B10" s="305">
        <f>[4]Sammanfattning!$C$8</f>
        <v>808.54199999999992</v>
      </c>
      <c r="C10" s="146">
        <v>780</v>
      </c>
      <c r="D10" s="146">
        <v>780</v>
      </c>
      <c r="E10" s="146">
        <f>[5]Sammanfattning!$E$8</f>
        <v>782</v>
      </c>
      <c r="F10" s="146">
        <f>SUM([6]Sammanfattning!$F$8)</f>
        <v>858</v>
      </c>
      <c r="G10" s="147">
        <f t="shared" si="0"/>
        <v>1.1000000000000001</v>
      </c>
      <c r="H10" s="148">
        <f t="shared" si="1"/>
        <v>-28.541999999999916</v>
      </c>
      <c r="I10" s="149"/>
    </row>
    <row r="11" spans="1:9" s="122" customFormat="1">
      <c r="A11" s="141" t="s">
        <v>64</v>
      </c>
      <c r="B11" s="305">
        <f>[4]Sammanfattning!$C$9</f>
        <v>0</v>
      </c>
      <c r="C11" s="142">
        <v>0</v>
      </c>
      <c r="D11" s="142">
        <v>0</v>
      </c>
      <c r="E11" s="142">
        <f>[5]Sammanfattning!$E$9</f>
        <v>0</v>
      </c>
      <c r="F11" s="142">
        <f>SUM([6]Sammanfattning!$F$9)</f>
        <v>0</v>
      </c>
      <c r="G11" s="143" t="e">
        <f t="shared" si="0"/>
        <v>#DIV/0!</v>
      </c>
      <c r="H11" s="144">
        <f t="shared" si="1"/>
        <v>0</v>
      </c>
      <c r="I11" s="149"/>
    </row>
    <row r="12" spans="1:9" s="122" customFormat="1">
      <c r="A12" s="145" t="s">
        <v>20</v>
      </c>
      <c r="B12" s="305">
        <f>[4]Sammanfattning!$C$10</f>
        <v>326.63800000000003</v>
      </c>
      <c r="C12" s="146">
        <v>478</v>
      </c>
      <c r="D12" s="146">
        <v>478</v>
      </c>
      <c r="E12" s="146">
        <f>[5]Sammanfattning!$E$10</f>
        <v>478</v>
      </c>
      <c r="F12" s="146">
        <f>SUM([6]Sammanfattning!$F$10)</f>
        <v>400</v>
      </c>
      <c r="G12" s="147">
        <f t="shared" si="0"/>
        <v>0.83682008368200833</v>
      </c>
      <c r="H12" s="148">
        <f t="shared" si="1"/>
        <v>151.36199999999997</v>
      </c>
      <c r="I12" s="149"/>
    </row>
    <row r="13" spans="1:9" s="122" customFormat="1">
      <c r="A13" s="141" t="s">
        <v>113</v>
      </c>
      <c r="B13" s="305">
        <f>[4]Sammanfattning!$C$11</f>
        <v>323.82499999999999</v>
      </c>
      <c r="C13" s="150">
        <v>300</v>
      </c>
      <c r="D13" s="150">
        <v>355</v>
      </c>
      <c r="E13" s="150">
        <f>[5]Sammanfattning!$E$11</f>
        <v>355</v>
      </c>
      <c r="F13" s="150">
        <f>SUM([6]Sammanfattning!$F$11)</f>
        <v>424</v>
      </c>
      <c r="G13" s="143">
        <f t="shared" si="0"/>
        <v>1.1943661971830986</v>
      </c>
      <c r="H13" s="144">
        <f t="shared" si="1"/>
        <v>-23.824999999999989</v>
      </c>
      <c r="I13" s="149"/>
    </row>
    <row r="14" spans="1:9" s="122" customFormat="1">
      <c r="A14" s="145" t="s">
        <v>140</v>
      </c>
      <c r="B14" s="305">
        <f>[4]Sammanfattning!$C$12</f>
        <v>84.974999999999994</v>
      </c>
      <c r="C14" s="173">
        <f>SUM(D14-70)</f>
        <v>84</v>
      </c>
      <c r="D14" s="173">
        <v>154</v>
      </c>
      <c r="E14" s="173">
        <f>[5]Sammanfattning!$E$12</f>
        <v>126</v>
      </c>
      <c r="F14" s="173">
        <f>SUM([6]Sammanfattning!$F$12)</f>
        <v>146</v>
      </c>
      <c r="G14" s="147">
        <f t="shared" si="0"/>
        <v>0.94805194805194803</v>
      </c>
      <c r="H14" s="148">
        <f t="shared" si="1"/>
        <v>-0.97499999999999432</v>
      </c>
      <c r="I14" s="149"/>
    </row>
    <row r="15" spans="1:9" s="153" customFormat="1">
      <c r="A15" s="151" t="s">
        <v>17</v>
      </c>
      <c r="B15" s="306">
        <f>SUM(B9:B14)</f>
        <v>1988.2949999999998</v>
      </c>
      <c r="C15" s="152">
        <f>SUM(C9:C14)</f>
        <v>2177</v>
      </c>
      <c r="D15" s="152">
        <f>SUM(D9:D14)</f>
        <v>2467</v>
      </c>
      <c r="E15" s="152">
        <f>SUM(E9:E14)</f>
        <v>2451</v>
      </c>
      <c r="F15" s="152">
        <f>SUM(F9:F14)</f>
        <v>2592</v>
      </c>
      <c r="G15" s="351">
        <f t="shared" si="0"/>
        <v>1.0506688285366843</v>
      </c>
      <c r="H15" s="152">
        <f t="shared" si="1"/>
        <v>188.70500000000015</v>
      </c>
      <c r="I15" s="149"/>
    </row>
    <row r="16" spans="1:9" s="122" customFormat="1" ht="6" customHeight="1">
      <c r="A16" s="154"/>
      <c r="B16" s="307"/>
      <c r="C16" s="156"/>
      <c r="D16" s="157"/>
      <c r="E16" s="155"/>
      <c r="F16" s="155"/>
      <c r="G16" s="147"/>
      <c r="H16" s="148"/>
      <c r="I16" s="149"/>
    </row>
    <row r="17" spans="1:20" s="122" customFormat="1">
      <c r="A17" s="158" t="s">
        <v>66</v>
      </c>
      <c r="B17" s="307"/>
      <c r="C17" s="156"/>
      <c r="D17" s="157"/>
      <c r="E17" s="155"/>
      <c r="F17" s="155"/>
      <c r="G17" s="147"/>
      <c r="H17" s="148"/>
      <c r="I17" s="149"/>
    </row>
    <row r="18" spans="1:20" s="122" customFormat="1">
      <c r="A18" s="141" t="s">
        <v>114</v>
      </c>
      <c r="B18" s="305">
        <f>[4]Sammanfattning!$C$16</f>
        <v>736.3549999999999</v>
      </c>
      <c r="C18" s="142">
        <v>826</v>
      </c>
      <c r="D18" s="142">
        <v>836</v>
      </c>
      <c r="E18" s="142">
        <f>[5]Sammanfattning!$E$16</f>
        <v>836</v>
      </c>
      <c r="F18" s="142">
        <f>SUM([6]Sammanfattning!$F$16)</f>
        <v>765</v>
      </c>
      <c r="G18" s="143">
        <f t="shared" ref="G18:G28" si="2">SUM(F18/D18)</f>
        <v>0.91507177033492826</v>
      </c>
      <c r="H18" s="144">
        <f>SUM(C18-B18)</f>
        <v>89.645000000000095</v>
      </c>
      <c r="I18" s="149"/>
    </row>
    <row r="19" spans="1:20" s="122" customFormat="1">
      <c r="A19" s="145" t="s">
        <v>67</v>
      </c>
      <c r="B19" s="305">
        <f>[4]Sammanfattning!$C$17</f>
        <v>175.21399999999997</v>
      </c>
      <c r="C19" s="146">
        <v>240</v>
      </c>
      <c r="D19" s="146">
        <v>240</v>
      </c>
      <c r="E19" s="146">
        <f>[5]Sammanfattning!$E$17</f>
        <v>250</v>
      </c>
      <c r="F19" s="146">
        <f>SUM([6]Sammanfattning!$F$17)</f>
        <v>221</v>
      </c>
      <c r="G19" s="147">
        <f t="shared" si="2"/>
        <v>0.92083333333333328</v>
      </c>
      <c r="H19" s="159">
        <f>SUM(C19-B19)</f>
        <v>64.78600000000003</v>
      </c>
      <c r="I19" s="149"/>
    </row>
    <row r="20" spans="1:20" s="122" customFormat="1">
      <c r="A20" s="141" t="s">
        <v>68</v>
      </c>
      <c r="B20" s="305">
        <f>[4]Sammanfattning!$C$18</f>
        <v>0</v>
      </c>
      <c r="C20" s="142">
        <v>5</v>
      </c>
      <c r="D20" s="142">
        <v>5</v>
      </c>
      <c r="E20" s="142">
        <f>[5]Sammanfattning!$E$18</f>
        <v>0</v>
      </c>
      <c r="F20" s="142">
        <f>SUM([6]Sammanfattning!$F$18)</f>
        <v>0</v>
      </c>
      <c r="G20" s="143">
        <f t="shared" si="2"/>
        <v>0</v>
      </c>
      <c r="H20" s="144">
        <f>SUM(C20-B20)</f>
        <v>5</v>
      </c>
      <c r="I20" s="149"/>
    </row>
    <row r="21" spans="1:20" s="122" customFormat="1">
      <c r="A21" s="145" t="s">
        <v>19</v>
      </c>
      <c r="B21" s="305">
        <f>[4]Sammanfattning!$C$19</f>
        <v>1507.798</v>
      </c>
      <c r="C21" s="146">
        <f>SUM(D21-505)</f>
        <v>1925</v>
      </c>
      <c r="D21" s="146">
        <v>2430</v>
      </c>
      <c r="E21" s="146">
        <f>[5]Sammanfattning!$E$19</f>
        <v>2558</v>
      </c>
      <c r="F21" s="146">
        <f>SUM([6]Sammanfattning!$F$19)</f>
        <v>2533</v>
      </c>
      <c r="G21" s="147">
        <f t="shared" si="2"/>
        <v>1.0423868312757201</v>
      </c>
      <c r="H21" s="148">
        <f>SUM(C21-B21)</f>
        <v>417.202</v>
      </c>
      <c r="I21" s="149"/>
    </row>
    <row r="22" spans="1:20" s="122" customFormat="1">
      <c r="A22" s="141" t="s">
        <v>88</v>
      </c>
      <c r="B22" s="305">
        <f>[4]Sammanfattning!$C$20</f>
        <v>304.10300000000001</v>
      </c>
      <c r="C22" s="142">
        <f>SUM(D22-192)</f>
        <v>535</v>
      </c>
      <c r="D22" s="142">
        <v>727</v>
      </c>
      <c r="E22" s="142">
        <f>[5]Sammanfattning!$E$20</f>
        <v>682</v>
      </c>
      <c r="F22" s="142">
        <f>SUM([6]Sammanfattning!$F$20)</f>
        <v>665</v>
      </c>
      <c r="G22" s="143">
        <f t="shared" si="2"/>
        <v>0.9147180192572214</v>
      </c>
      <c r="H22" s="144">
        <f>+C22-B22</f>
        <v>230.89699999999999</v>
      </c>
      <c r="I22" s="149"/>
    </row>
    <row r="23" spans="1:20" s="122" customFormat="1">
      <c r="A23" s="145" t="s">
        <v>146</v>
      </c>
      <c r="B23" s="305">
        <f>[4]Sammanfattning!$C$21</f>
        <v>22.776999999999997</v>
      </c>
      <c r="C23" s="146">
        <f>SUM(D23-27)</f>
        <v>17</v>
      </c>
      <c r="D23" s="146">
        <v>44</v>
      </c>
      <c r="E23" s="146">
        <f>[5]Sammanfattning!$E$21</f>
        <v>44</v>
      </c>
      <c r="F23" s="146">
        <f>SUM([6]Sammanfattning!$F$21)</f>
        <v>39</v>
      </c>
      <c r="G23" s="147">
        <f t="shared" si="2"/>
        <v>0.88636363636363635</v>
      </c>
      <c r="H23" s="148">
        <f>+C23-B23</f>
        <v>-5.7769999999999975</v>
      </c>
      <c r="I23" s="149"/>
    </row>
    <row r="24" spans="1:20" s="122" customFormat="1">
      <c r="A24" s="141" t="s">
        <v>137</v>
      </c>
      <c r="B24" s="305">
        <f>[4]Sammanfattning!$C$22</f>
        <v>209.20699999999999</v>
      </c>
      <c r="C24" s="142">
        <v>205</v>
      </c>
      <c r="D24" s="142">
        <v>255</v>
      </c>
      <c r="E24" s="142">
        <f>[5]Sammanfattning!$E$22</f>
        <v>255</v>
      </c>
      <c r="F24" s="142">
        <f>SUM([6]Sammanfattning!$F$22)</f>
        <v>350</v>
      </c>
      <c r="G24" s="143">
        <f t="shared" si="2"/>
        <v>1.3725490196078431</v>
      </c>
      <c r="H24" s="144">
        <f>+C24-B24</f>
        <v>-4.2069999999999936</v>
      </c>
      <c r="I24" s="149"/>
    </row>
    <row r="25" spans="1:20" s="122" customFormat="1">
      <c r="A25" s="145" t="s">
        <v>138</v>
      </c>
      <c r="B25" s="305">
        <f>[4]Sammanfattning!$C$23</f>
        <v>29.709000000000003</v>
      </c>
      <c r="C25" s="146">
        <v>30</v>
      </c>
      <c r="D25" s="146">
        <v>55</v>
      </c>
      <c r="E25" s="146">
        <f>[5]Sammanfattning!$E$23</f>
        <v>55</v>
      </c>
      <c r="F25" s="146">
        <f>SUM([6]Sammanfattning!$F$23)</f>
        <v>40</v>
      </c>
      <c r="G25" s="147">
        <f t="shared" si="2"/>
        <v>0.72727272727272729</v>
      </c>
      <c r="H25" s="148"/>
      <c r="I25" s="149"/>
    </row>
    <row r="26" spans="1:20" s="122" customFormat="1">
      <c r="A26" s="141" t="s">
        <v>141</v>
      </c>
      <c r="B26" s="305">
        <f>[4]Sammanfattning!$C$24</f>
        <v>365.30100000000004</v>
      </c>
      <c r="C26" s="142">
        <v>400</v>
      </c>
      <c r="D26" s="142">
        <v>400</v>
      </c>
      <c r="E26" s="142">
        <f>[5]Sammanfattning!$E$24</f>
        <v>410</v>
      </c>
      <c r="F26" s="142">
        <f>SUM([6]Sammanfattning!$F$24)</f>
        <v>415</v>
      </c>
      <c r="G26" s="143">
        <f t="shared" si="2"/>
        <v>1.0375000000000001</v>
      </c>
      <c r="H26" s="144">
        <f>+C26-B26</f>
        <v>34.698999999999955</v>
      </c>
      <c r="I26" s="149"/>
    </row>
    <row r="27" spans="1:20" s="122" customFormat="1">
      <c r="A27" s="350" t="s">
        <v>150</v>
      </c>
      <c r="B27" s="305">
        <f>[4]Sammanfattning!$C$25</f>
        <v>3.9380000000000002</v>
      </c>
      <c r="C27" s="146">
        <f>[5]Sammanfattning!$B$25</f>
        <v>0</v>
      </c>
      <c r="D27" s="146">
        <f>C27</f>
        <v>0</v>
      </c>
      <c r="E27" s="146">
        <f>[5]Sammanfattning!$E$25</f>
        <v>400</v>
      </c>
      <c r="F27" s="146">
        <f>SUM([6]Sammanfattning!$F$25)</f>
        <v>252</v>
      </c>
      <c r="G27" s="146" t="e">
        <f t="shared" si="2"/>
        <v>#DIV/0!</v>
      </c>
      <c r="H27" s="146">
        <f>+C27-B27</f>
        <v>-3.9380000000000002</v>
      </c>
      <c r="I27" s="149"/>
    </row>
    <row r="28" spans="1:20" s="153" customFormat="1">
      <c r="A28" s="151" t="s">
        <v>17</v>
      </c>
      <c r="B28" s="306">
        <f>SUM(B18:B27)</f>
        <v>3354.4019999999996</v>
      </c>
      <c r="C28" s="152">
        <f>SUM(C18:C27)</f>
        <v>4183</v>
      </c>
      <c r="D28" s="152">
        <f>SUM(D18:D27)</f>
        <v>4992</v>
      </c>
      <c r="E28" s="152">
        <f>SUM(E18:E27)</f>
        <v>5490</v>
      </c>
      <c r="F28" s="152">
        <f>SUM(F18:F27)</f>
        <v>5280</v>
      </c>
      <c r="G28" s="351">
        <f t="shared" si="2"/>
        <v>1.0576923076923077</v>
      </c>
      <c r="H28" s="152">
        <f>+C28-B28</f>
        <v>828.59800000000041</v>
      </c>
      <c r="I28" s="140"/>
    </row>
    <row r="29" spans="1:20" ht="6" customHeight="1">
      <c r="A29" s="145"/>
      <c r="B29" s="308"/>
      <c r="C29" s="148"/>
      <c r="D29" s="148"/>
      <c r="E29" s="160"/>
      <c r="F29" s="160"/>
      <c r="G29" s="147"/>
      <c r="H29" s="148"/>
      <c r="I29" s="140"/>
      <c r="J29" s="122"/>
      <c r="P29" s="122"/>
      <c r="Q29" s="122"/>
      <c r="R29" s="122"/>
      <c r="S29" s="122"/>
      <c r="T29" s="122"/>
    </row>
    <row r="30" spans="1:20">
      <c r="A30" s="158" t="s">
        <v>69</v>
      </c>
      <c r="B30" s="307"/>
      <c r="C30" s="157"/>
      <c r="D30" s="157"/>
      <c r="E30" s="155"/>
      <c r="F30" s="155"/>
      <c r="G30" s="147"/>
      <c r="H30" s="148"/>
      <c r="I30" s="140"/>
      <c r="M30" s="122"/>
      <c r="P30" s="122"/>
      <c r="Q30" s="122"/>
      <c r="R30" s="122"/>
      <c r="S30" s="122"/>
      <c r="T30" s="122"/>
    </row>
    <row r="31" spans="1:20">
      <c r="A31" s="161" t="s">
        <v>70</v>
      </c>
      <c r="B31" s="309">
        <f>[4]Sammanfattning!$C$29</f>
        <v>38.567999999999998</v>
      </c>
      <c r="C31" s="162">
        <v>90</v>
      </c>
      <c r="D31" s="162">
        <v>165</v>
      </c>
      <c r="E31" s="162">
        <f>[5]Sammanfattning!$E$29</f>
        <v>120</v>
      </c>
      <c r="F31" s="162">
        <f>SUM([6]Sammanfattning!$F$29)</f>
        <v>82</v>
      </c>
      <c r="G31" s="143">
        <f t="shared" ref="G31:G41" si="3">SUM(F31/D31)</f>
        <v>0.49696969696969695</v>
      </c>
      <c r="H31" s="144">
        <f t="shared" ref="H31:H39" si="4">+C31-B31</f>
        <v>51.432000000000002</v>
      </c>
      <c r="I31" s="140"/>
      <c r="P31" s="122"/>
      <c r="Q31" s="122"/>
      <c r="R31" s="122"/>
      <c r="S31" s="122"/>
      <c r="T31" s="122"/>
    </row>
    <row r="32" spans="1:20" s="122" customFormat="1">
      <c r="A32" s="163" t="s">
        <v>56</v>
      </c>
      <c r="B32" s="309">
        <f>[4]Sammanfattning!$C$30</f>
        <v>328.87599999999998</v>
      </c>
      <c r="C32" s="157">
        <f>SUM(D32-103)</f>
        <v>378</v>
      </c>
      <c r="D32" s="157">
        <v>481</v>
      </c>
      <c r="E32" s="157">
        <f>[5]Sammanfattning!$E$30</f>
        <v>430</v>
      </c>
      <c r="F32" s="157">
        <f>SUM([6]Sammanfattning!$F$30)</f>
        <v>388</v>
      </c>
      <c r="G32" s="147">
        <f t="shared" si="3"/>
        <v>0.8066528066528067</v>
      </c>
      <c r="H32" s="148">
        <f t="shared" si="4"/>
        <v>49.124000000000024</v>
      </c>
      <c r="I32" s="140"/>
    </row>
    <row r="33" spans="1:20">
      <c r="A33" s="161" t="s">
        <v>115</v>
      </c>
      <c r="B33" s="309">
        <f>[4]Sammanfattning!$C$31</f>
        <v>46.811</v>
      </c>
      <c r="C33" s="162">
        <v>50</v>
      </c>
      <c r="D33" s="162">
        <v>70</v>
      </c>
      <c r="E33" s="162">
        <f>[5]Sammanfattning!$E$31</f>
        <v>60</v>
      </c>
      <c r="F33" s="162">
        <f>SUM([6]Sammanfattning!$F$31)</f>
        <v>60</v>
      </c>
      <c r="G33" s="143">
        <f t="shared" si="3"/>
        <v>0.8571428571428571</v>
      </c>
      <c r="H33" s="144">
        <f t="shared" si="4"/>
        <v>3.1890000000000001</v>
      </c>
      <c r="I33" s="140"/>
      <c r="P33" s="122"/>
      <c r="Q33" s="122"/>
      <c r="R33" s="122"/>
      <c r="S33" s="122"/>
      <c r="T33" s="122"/>
    </row>
    <row r="34" spans="1:20">
      <c r="A34" s="163" t="s">
        <v>89</v>
      </c>
      <c r="B34" s="309">
        <f>[4]Sammanfattning!$C$32</f>
        <v>130.46199999999999</v>
      </c>
      <c r="C34" s="157">
        <f>SUM(D34-94)</f>
        <v>150</v>
      </c>
      <c r="D34" s="157">
        <v>244</v>
      </c>
      <c r="E34" s="157">
        <f>[5]Sammanfattning!$E$32</f>
        <v>165</v>
      </c>
      <c r="F34" s="157">
        <f>SUM([6]Sammanfattning!$F$32)</f>
        <v>173</v>
      </c>
      <c r="G34" s="147">
        <f t="shared" si="3"/>
        <v>0.70901639344262291</v>
      </c>
      <c r="H34" s="148">
        <f t="shared" si="4"/>
        <v>19.538000000000011</v>
      </c>
      <c r="I34" s="140"/>
      <c r="P34" s="122"/>
      <c r="Q34" s="122"/>
      <c r="R34" s="122"/>
      <c r="S34" s="122"/>
      <c r="T34" s="122"/>
    </row>
    <row r="35" spans="1:20">
      <c r="A35" s="161" t="s">
        <v>90</v>
      </c>
      <c r="B35" s="309">
        <f>[4]Sammanfattning!$C$33</f>
        <v>160.86200000000002</v>
      </c>
      <c r="C35" s="162">
        <f>SUM(D35-99)</f>
        <v>144</v>
      </c>
      <c r="D35" s="162">
        <v>243</v>
      </c>
      <c r="E35" s="162">
        <f>[5]Sammanfattning!$E$33</f>
        <v>243</v>
      </c>
      <c r="F35" s="162">
        <f>SUM([6]Sammanfattning!$F$33)</f>
        <v>225</v>
      </c>
      <c r="G35" s="143">
        <f t="shared" si="3"/>
        <v>0.92592592592592593</v>
      </c>
      <c r="H35" s="144">
        <f t="shared" si="4"/>
        <v>-16.862000000000023</v>
      </c>
      <c r="I35" s="140"/>
      <c r="P35" s="122"/>
      <c r="Q35" s="122"/>
      <c r="R35" s="122"/>
      <c r="S35" s="122"/>
      <c r="T35" s="122"/>
    </row>
    <row r="36" spans="1:20" s="122" customFormat="1">
      <c r="A36" s="163" t="s">
        <v>91</v>
      </c>
      <c r="B36" s="309">
        <f>[4]Sammanfattning!$C$34</f>
        <v>77.515999999999991</v>
      </c>
      <c r="C36" s="157">
        <f>SUM(D36-35)</f>
        <v>45</v>
      </c>
      <c r="D36" s="157">
        <v>80</v>
      </c>
      <c r="E36" s="157">
        <f>[5]Sammanfattning!$E$34</f>
        <v>105</v>
      </c>
      <c r="F36" s="157">
        <f>SUM([6]Sammanfattning!$F$34)</f>
        <v>101</v>
      </c>
      <c r="G36" s="147">
        <f t="shared" si="3"/>
        <v>1.2625</v>
      </c>
      <c r="H36" s="148">
        <f t="shared" si="4"/>
        <v>-32.515999999999991</v>
      </c>
      <c r="I36" s="140"/>
    </row>
    <row r="37" spans="1:20">
      <c r="A37" s="161" t="s">
        <v>92</v>
      </c>
      <c r="B37" s="309">
        <f>[4]Sammanfattning!$C$35</f>
        <v>397.93400000000003</v>
      </c>
      <c r="C37" s="162">
        <f>SUM(D37-175)</f>
        <v>415</v>
      </c>
      <c r="D37" s="162">
        <v>590</v>
      </c>
      <c r="E37" s="162">
        <f>[5]Sammanfattning!$E$35</f>
        <v>590</v>
      </c>
      <c r="F37" s="162">
        <f>SUM([6]Sammanfattning!$F$35)</f>
        <v>578</v>
      </c>
      <c r="G37" s="143">
        <f t="shared" si="3"/>
        <v>0.97966101694915253</v>
      </c>
      <c r="H37" s="144">
        <f t="shared" si="4"/>
        <v>17.065999999999974</v>
      </c>
      <c r="I37" s="140"/>
      <c r="P37" s="122"/>
      <c r="Q37" s="122"/>
      <c r="R37" s="122"/>
      <c r="S37" s="122"/>
      <c r="T37" s="122"/>
    </row>
    <row r="38" spans="1:20" s="122" customFormat="1">
      <c r="A38" s="145" t="s">
        <v>51</v>
      </c>
      <c r="B38" s="309">
        <f>[4]Sammanfattning!$C$36</f>
        <v>150.989</v>
      </c>
      <c r="C38" s="146">
        <f>SUM(D38-63)</f>
        <v>152</v>
      </c>
      <c r="D38" s="146">
        <v>215</v>
      </c>
      <c r="E38" s="146">
        <f>[5]Sammanfattning!$E$36</f>
        <v>205</v>
      </c>
      <c r="F38" s="146">
        <f>SUM([6]Sammanfattning!$F$36)</f>
        <v>178</v>
      </c>
      <c r="G38" s="147">
        <f t="shared" si="3"/>
        <v>0.82790697674418601</v>
      </c>
      <c r="H38" s="148">
        <f t="shared" si="4"/>
        <v>1.0109999999999957</v>
      </c>
      <c r="I38" s="140"/>
    </row>
    <row r="39" spans="1:20" s="122" customFormat="1">
      <c r="A39" s="161" t="s">
        <v>116</v>
      </c>
      <c r="B39" s="309">
        <f>[4]Sammanfattning!$C$37</f>
        <v>131.68299999999999</v>
      </c>
      <c r="C39" s="162">
        <v>60</v>
      </c>
      <c r="D39" s="162">
        <v>110</v>
      </c>
      <c r="E39" s="162">
        <f>[5]Sammanfattning!$E$37</f>
        <v>120</v>
      </c>
      <c r="F39" s="162">
        <f>SUM([6]Sammanfattning!$F$37)</f>
        <v>132</v>
      </c>
      <c r="G39" s="143">
        <f t="shared" si="3"/>
        <v>1.2</v>
      </c>
      <c r="H39" s="144">
        <f t="shared" si="4"/>
        <v>-71.682999999999993</v>
      </c>
      <c r="I39" s="140"/>
    </row>
    <row r="40" spans="1:20" s="122" customFormat="1">
      <c r="A40" s="163" t="s">
        <v>97</v>
      </c>
      <c r="B40" s="309">
        <f>[4]Sammanfattning!$C$38</f>
        <v>78.052999999999997</v>
      </c>
      <c r="C40" s="157">
        <v>128</v>
      </c>
      <c r="D40" s="157">
        <v>214</v>
      </c>
      <c r="E40" s="157">
        <f>[5]Sammanfattning!$E$38</f>
        <v>139</v>
      </c>
      <c r="F40" s="157">
        <f>SUM([6]Sammanfattning!$F$38)</f>
        <v>158</v>
      </c>
      <c r="G40" s="147">
        <f t="shared" si="3"/>
        <v>0.73831775700934577</v>
      </c>
      <c r="H40" s="148">
        <f>SUM(C40-B40)</f>
        <v>49.947000000000003</v>
      </c>
      <c r="I40" s="140"/>
    </row>
    <row r="41" spans="1:20" s="153" customFormat="1">
      <c r="A41" s="151" t="s">
        <v>17</v>
      </c>
      <c r="B41" s="306">
        <f>SUM(B31:B40)</f>
        <v>1541.7539999999999</v>
      </c>
      <c r="C41" s="152">
        <f>SUM(C31:C40)</f>
        <v>1612</v>
      </c>
      <c r="D41" s="152">
        <f>SUM(D31:D40)</f>
        <v>2412</v>
      </c>
      <c r="E41" s="152">
        <f>SUM(E31:E40)</f>
        <v>2177</v>
      </c>
      <c r="F41" s="152">
        <f>SUM(F31:F40)</f>
        <v>2075</v>
      </c>
      <c r="G41" s="351">
        <f t="shared" si="3"/>
        <v>0.86028192371475953</v>
      </c>
      <c r="H41" s="152">
        <f>+C41-B41</f>
        <v>70.246000000000095</v>
      </c>
      <c r="I41" s="140"/>
      <c r="J41" s="164"/>
    </row>
    <row r="42" spans="1:20" ht="6" customHeight="1">
      <c r="A42" s="163"/>
      <c r="B42" s="307"/>
      <c r="C42" s="157"/>
      <c r="D42" s="157"/>
      <c r="E42" s="155"/>
      <c r="F42" s="155"/>
      <c r="G42" s="147"/>
      <c r="H42" s="148"/>
      <c r="I42" s="140"/>
    </row>
    <row r="43" spans="1:20">
      <c r="A43" s="158" t="s">
        <v>32</v>
      </c>
      <c r="B43" s="307"/>
      <c r="C43" s="157"/>
      <c r="D43" s="157"/>
      <c r="E43" s="155"/>
      <c r="F43" s="155"/>
      <c r="G43" s="147"/>
      <c r="H43" s="148"/>
      <c r="I43" s="140"/>
      <c r="J43" s="122"/>
    </row>
    <row r="44" spans="1:20">
      <c r="A44" s="141" t="s">
        <v>46</v>
      </c>
      <c r="B44" s="305">
        <f>[4]Sammanfattning!$C$42</f>
        <v>321.05599999999998</v>
      </c>
      <c r="C44" s="142">
        <v>406</v>
      </c>
      <c r="D44" s="142">
        <v>406</v>
      </c>
      <c r="E44" s="142">
        <f>[5]Sammanfattning!$E$42</f>
        <v>465</v>
      </c>
      <c r="F44" s="142">
        <f>SUM([6]Sammanfattning!$F$42)</f>
        <v>327</v>
      </c>
      <c r="G44" s="143">
        <f t="shared" ref="G44:G52" si="5">SUM(F44/D44)</f>
        <v>0.80541871921182262</v>
      </c>
      <c r="H44" s="144">
        <f t="shared" ref="H44:H52" si="6">+C44-B44</f>
        <v>84.944000000000017</v>
      </c>
      <c r="I44" s="140"/>
    </row>
    <row r="45" spans="1:20" s="122" customFormat="1">
      <c r="A45" s="145" t="s">
        <v>49</v>
      </c>
      <c r="B45" s="305">
        <f>[4]Sammanfattning!$C$43</f>
        <v>0.31</v>
      </c>
      <c r="C45" s="146">
        <v>5</v>
      </c>
      <c r="D45" s="146">
        <v>5</v>
      </c>
      <c r="E45" s="146">
        <f>[5]Sammanfattning!$E$43</f>
        <v>5</v>
      </c>
      <c r="F45" s="146">
        <f>SUM([6]Sammanfattning!$F$43)</f>
        <v>0</v>
      </c>
      <c r="G45" s="147">
        <f t="shared" si="5"/>
        <v>0</v>
      </c>
      <c r="H45" s="148">
        <f t="shared" si="6"/>
        <v>4.6900000000000004</v>
      </c>
      <c r="I45" s="140"/>
    </row>
    <row r="46" spans="1:20">
      <c r="A46" s="141" t="s">
        <v>71</v>
      </c>
      <c r="B46" s="305">
        <f>[4]Sammanfattning!$C$44</f>
        <v>39.184999999999995</v>
      </c>
      <c r="C46" s="142">
        <v>50</v>
      </c>
      <c r="D46" s="142">
        <v>50</v>
      </c>
      <c r="E46" s="142">
        <f>[5]Sammanfattning!$E$44</f>
        <v>60</v>
      </c>
      <c r="F46" s="142">
        <f>SUM([6]Sammanfattning!$F$44)</f>
        <v>52</v>
      </c>
      <c r="G46" s="143">
        <f t="shared" si="5"/>
        <v>1.04</v>
      </c>
      <c r="H46" s="144">
        <f t="shared" si="6"/>
        <v>10.815000000000005</v>
      </c>
      <c r="I46" s="140"/>
    </row>
    <row r="47" spans="1:20">
      <c r="A47" s="145" t="s">
        <v>117</v>
      </c>
      <c r="B47" s="305">
        <v>0</v>
      </c>
      <c r="C47" s="146">
        <v>0</v>
      </c>
      <c r="D47" s="146">
        <v>0</v>
      </c>
      <c r="E47" s="146">
        <v>0</v>
      </c>
      <c r="F47" s="146">
        <v>0</v>
      </c>
      <c r="G47" s="147" t="e">
        <f t="shared" si="5"/>
        <v>#DIV/0!</v>
      </c>
      <c r="H47" s="148">
        <f t="shared" si="6"/>
        <v>0</v>
      </c>
      <c r="I47" s="140"/>
    </row>
    <row r="48" spans="1:20" s="122" customFormat="1">
      <c r="A48" s="141" t="s">
        <v>47</v>
      </c>
      <c r="B48" s="305">
        <f>[4]Sammanfattning!$C$45</f>
        <v>207.71899999999997</v>
      </c>
      <c r="C48" s="142">
        <v>300</v>
      </c>
      <c r="D48" s="142">
        <v>300</v>
      </c>
      <c r="E48" s="142">
        <f>[5]Sammanfattning!$E$45</f>
        <v>306</v>
      </c>
      <c r="F48" s="142">
        <f>SUM([6]Sammanfattning!$F$45)</f>
        <v>269</v>
      </c>
      <c r="G48" s="143">
        <f t="shared" si="5"/>
        <v>0.89666666666666661</v>
      </c>
      <c r="H48" s="144">
        <f t="shared" si="6"/>
        <v>92.281000000000034</v>
      </c>
      <c r="I48" s="149"/>
    </row>
    <row r="49" spans="1:9" s="122" customFormat="1">
      <c r="A49" s="145" t="s">
        <v>48</v>
      </c>
      <c r="B49" s="305">
        <f>[4]Sammanfattning!$C$46</f>
        <v>9.1310000000000002</v>
      </c>
      <c r="C49" s="146">
        <v>20</v>
      </c>
      <c r="D49" s="146">
        <v>20</v>
      </c>
      <c r="E49" s="146">
        <f>[5]Sammanfattning!$E$46</f>
        <v>20</v>
      </c>
      <c r="F49" s="146">
        <f>SUM([6]Sammanfattning!$F$46)</f>
        <v>20</v>
      </c>
      <c r="G49" s="147">
        <f t="shared" si="5"/>
        <v>1</v>
      </c>
      <c r="H49" s="148">
        <f t="shared" si="6"/>
        <v>10.869</v>
      </c>
      <c r="I49" s="140"/>
    </row>
    <row r="50" spans="1:9" s="122" customFormat="1">
      <c r="A50" s="141" t="s">
        <v>72</v>
      </c>
      <c r="B50" s="305">
        <f>[4]Sammanfattning!$C$47</f>
        <v>9.91</v>
      </c>
      <c r="C50" s="142">
        <v>15</v>
      </c>
      <c r="D50" s="142">
        <v>15</v>
      </c>
      <c r="E50" s="142">
        <f>[5]Sammanfattning!$E$47</f>
        <v>15</v>
      </c>
      <c r="F50" s="142">
        <f>SUM([6]Sammanfattning!$F$47)</f>
        <v>15</v>
      </c>
      <c r="G50" s="143">
        <f t="shared" si="5"/>
        <v>1</v>
      </c>
      <c r="H50" s="144">
        <f t="shared" si="6"/>
        <v>5.09</v>
      </c>
      <c r="I50" s="149"/>
    </row>
    <row r="51" spans="1:9" s="122" customFormat="1">
      <c r="A51" s="145" t="s">
        <v>50</v>
      </c>
      <c r="B51" s="305">
        <f>[4]Sammanfattning!$C$48</f>
        <v>23.131999999999998</v>
      </c>
      <c r="C51" s="146">
        <v>40</v>
      </c>
      <c r="D51" s="146">
        <v>40</v>
      </c>
      <c r="E51" s="146">
        <f>[5]Sammanfattning!$E$48</f>
        <v>40</v>
      </c>
      <c r="F51" s="146">
        <f>SUM([6]Sammanfattning!$F$48)</f>
        <v>40</v>
      </c>
      <c r="G51" s="147">
        <f t="shared" si="5"/>
        <v>1</v>
      </c>
      <c r="H51" s="148">
        <f t="shared" si="6"/>
        <v>16.868000000000002</v>
      </c>
      <c r="I51" s="140"/>
    </row>
    <row r="52" spans="1:9" s="165" customFormat="1">
      <c r="A52" s="151" t="s">
        <v>17</v>
      </c>
      <c r="B52" s="306">
        <f>SUM(B44:B51)</f>
        <v>610.44299999999987</v>
      </c>
      <c r="C52" s="152">
        <f>SUM(C44:C51)</f>
        <v>836</v>
      </c>
      <c r="D52" s="152">
        <f>SUM(D44:D51)</f>
        <v>836</v>
      </c>
      <c r="E52" s="152">
        <f>SUM(E44:E51)</f>
        <v>911</v>
      </c>
      <c r="F52" s="152">
        <f>SUM(F44:F51)</f>
        <v>723</v>
      </c>
      <c r="G52" s="351">
        <f t="shared" si="5"/>
        <v>0.86483253588516751</v>
      </c>
      <c r="H52" s="152">
        <f t="shared" si="6"/>
        <v>225.55700000000013</v>
      </c>
      <c r="I52" s="140"/>
    </row>
    <row r="53" spans="1:9" ht="6" customHeight="1">
      <c r="A53" s="145"/>
      <c r="B53" s="308"/>
      <c r="C53" s="148"/>
      <c r="D53" s="148"/>
      <c r="E53" s="160"/>
      <c r="F53" s="160"/>
      <c r="G53" s="147"/>
      <c r="H53" s="148"/>
      <c r="I53" s="140"/>
    </row>
    <row r="54" spans="1:9">
      <c r="A54" s="158" t="s">
        <v>96</v>
      </c>
      <c r="B54" s="307"/>
      <c r="C54" s="157"/>
      <c r="D54" s="157"/>
      <c r="E54" s="155"/>
      <c r="F54" s="155"/>
      <c r="G54" s="147"/>
      <c r="H54" s="148"/>
      <c r="I54" s="140"/>
    </row>
    <row r="55" spans="1:9">
      <c r="A55" s="161" t="s">
        <v>93</v>
      </c>
      <c r="B55" s="309">
        <f>[4]Sammanfattning!$C$52</f>
        <v>4740.6859999999997</v>
      </c>
      <c r="C55" s="162">
        <v>6005</v>
      </c>
      <c r="D55" s="162">
        <v>6005</v>
      </c>
      <c r="E55" s="162">
        <f>[5]Sammanfattning!$E$52</f>
        <v>5715</v>
      </c>
      <c r="F55" s="162">
        <f>SUM([6]Sammanfattning!$F$52)</f>
        <v>5638</v>
      </c>
      <c r="G55" s="143">
        <f t="shared" ref="G55:G64" si="7">SUM(F55/D55)</f>
        <v>0.93888426311407158</v>
      </c>
      <c r="H55" s="144">
        <f t="shared" ref="H55:H63" si="8">+C55-B55</f>
        <v>1264.3140000000003</v>
      </c>
      <c r="I55" s="140"/>
    </row>
    <row r="56" spans="1:9">
      <c r="A56" s="163" t="s">
        <v>94</v>
      </c>
      <c r="B56" s="309">
        <f>[4]Sammanfattning!$C$53</f>
        <v>1545.1929999999998</v>
      </c>
      <c r="C56" s="157">
        <v>1855</v>
      </c>
      <c r="D56" s="157">
        <v>1855</v>
      </c>
      <c r="E56" s="157">
        <f>[5]Sammanfattning!$E$53</f>
        <v>1830</v>
      </c>
      <c r="F56" s="157">
        <f>SUM([6]Sammanfattning!$F$53)</f>
        <v>1830</v>
      </c>
      <c r="G56" s="147">
        <f t="shared" si="7"/>
        <v>0.98652291105121293</v>
      </c>
      <c r="H56" s="148">
        <f t="shared" si="8"/>
        <v>309.80700000000024</v>
      </c>
      <c r="I56" s="140"/>
    </row>
    <row r="57" spans="1:9">
      <c r="A57" s="161" t="s">
        <v>118</v>
      </c>
      <c r="B57" s="309">
        <f>[4]Sammanfattning!$C$54</f>
        <v>2309.8269999999998</v>
      </c>
      <c r="C57" s="162">
        <f>SUM(D57-640)</f>
        <v>3021</v>
      </c>
      <c r="D57" s="162">
        <v>3661</v>
      </c>
      <c r="E57" s="162">
        <f>[5]Sammanfattning!$E$54</f>
        <v>3721</v>
      </c>
      <c r="F57" s="162">
        <f>SUM([6]Sammanfattning!$F$54)</f>
        <v>3621</v>
      </c>
      <c r="G57" s="143">
        <f t="shared" si="7"/>
        <v>0.9890740234908495</v>
      </c>
      <c r="H57" s="144">
        <f t="shared" si="8"/>
        <v>711.17300000000023</v>
      </c>
      <c r="I57" s="140"/>
    </row>
    <row r="58" spans="1:9">
      <c r="A58" s="145" t="s">
        <v>119</v>
      </c>
      <c r="B58" s="309">
        <f>[4]Sammanfattning!$C$55</f>
        <v>48.414999999999999</v>
      </c>
      <c r="C58" s="146">
        <v>50</v>
      </c>
      <c r="D58" s="146">
        <v>70</v>
      </c>
      <c r="E58" s="146">
        <f>[5]Sammanfattning!$E$55</f>
        <v>70</v>
      </c>
      <c r="F58" s="146">
        <f>SUM([6]Sammanfattning!$F$55)</f>
        <v>70</v>
      </c>
      <c r="G58" s="147">
        <f t="shared" si="7"/>
        <v>1</v>
      </c>
      <c r="H58" s="148">
        <f t="shared" si="8"/>
        <v>1.5850000000000009</v>
      </c>
      <c r="I58" s="140"/>
    </row>
    <row r="59" spans="1:9">
      <c r="A59" s="141" t="s">
        <v>120</v>
      </c>
      <c r="B59" s="309">
        <f>[4]Sammanfattning!$C$56</f>
        <v>1032.3030000000001</v>
      </c>
      <c r="C59" s="142">
        <v>1520</v>
      </c>
      <c r="D59" s="142">
        <v>1570</v>
      </c>
      <c r="E59" s="142">
        <f>[5]Sammanfattning!$E$56</f>
        <v>1540</v>
      </c>
      <c r="F59" s="142">
        <f>SUM([6]Sammanfattning!$F$56)</f>
        <v>1590</v>
      </c>
      <c r="G59" s="143">
        <f t="shared" si="7"/>
        <v>1.0127388535031847</v>
      </c>
      <c r="H59" s="144">
        <f t="shared" si="8"/>
        <v>487.69699999999989</v>
      </c>
      <c r="I59" s="140"/>
    </row>
    <row r="60" spans="1:9">
      <c r="A60" s="145" t="s">
        <v>121</v>
      </c>
      <c r="B60" s="309">
        <f>[4]Sammanfattning!$C$57</f>
        <v>233.76700000000002</v>
      </c>
      <c r="C60" s="146">
        <v>240</v>
      </c>
      <c r="D60" s="146">
        <v>240</v>
      </c>
      <c r="E60" s="146">
        <f>[5]Sammanfattning!$E$57</f>
        <v>242</v>
      </c>
      <c r="F60" s="146">
        <f>SUM([6]Sammanfattning!$F$57)</f>
        <v>253</v>
      </c>
      <c r="G60" s="147">
        <f t="shared" si="7"/>
        <v>1.0541666666666667</v>
      </c>
      <c r="H60" s="148">
        <f t="shared" si="8"/>
        <v>6.2329999999999757</v>
      </c>
      <c r="I60" s="140"/>
    </row>
    <row r="61" spans="1:9">
      <c r="A61" s="141" t="s">
        <v>136</v>
      </c>
      <c r="B61" s="309">
        <f>[4]Sammanfattning!$C$58</f>
        <v>144.44999999999999</v>
      </c>
      <c r="C61" s="142">
        <f>SUM(D61-180)</f>
        <v>375</v>
      </c>
      <c r="D61" s="142">
        <v>555</v>
      </c>
      <c r="E61" s="142">
        <f>[5]Sammanfattning!$E$58</f>
        <v>555</v>
      </c>
      <c r="F61" s="142">
        <f>SUM([6]Sammanfattning!$F$58)</f>
        <v>500</v>
      </c>
      <c r="G61" s="143">
        <f t="shared" si="7"/>
        <v>0.90090090090090091</v>
      </c>
      <c r="H61" s="144"/>
      <c r="I61" s="140"/>
    </row>
    <row r="62" spans="1:9" s="166" customFormat="1">
      <c r="A62" s="338" t="s">
        <v>83</v>
      </c>
      <c r="B62" s="381">
        <f>[4]Sammanfattning!$C$59</f>
        <v>-1116.6659999999999</v>
      </c>
      <c r="C62" s="339">
        <v>-1340</v>
      </c>
      <c r="D62" s="339">
        <v>-1340</v>
      </c>
      <c r="E62" s="339">
        <f>[5]Sammanfattning!$E$59</f>
        <v>-1336</v>
      </c>
      <c r="F62" s="339">
        <f>SUM([6]Sammanfattning!$F$59)</f>
        <v>-1312</v>
      </c>
      <c r="G62" s="147">
        <f t="shared" si="7"/>
        <v>0.9791044776119403</v>
      </c>
      <c r="H62" s="340">
        <f t="shared" si="8"/>
        <v>-223.33400000000006</v>
      </c>
      <c r="I62" s="140"/>
    </row>
    <row r="63" spans="1:9">
      <c r="A63" s="151" t="s">
        <v>17</v>
      </c>
      <c r="B63" s="306">
        <f>SUM(B55:B62)</f>
        <v>8937.9750000000004</v>
      </c>
      <c r="C63" s="152">
        <f>SUM(C55:C62)</f>
        <v>11726</v>
      </c>
      <c r="D63" s="167">
        <f>SUM(D55:D62)</f>
        <v>12616</v>
      </c>
      <c r="E63" s="152">
        <f>SUM(E55:E62)</f>
        <v>12337</v>
      </c>
      <c r="F63" s="152">
        <f>SUM(F55:F62)</f>
        <v>12190</v>
      </c>
      <c r="G63" s="351">
        <f t="shared" si="7"/>
        <v>0.96623335447051362</v>
      </c>
      <c r="H63" s="168">
        <f t="shared" si="8"/>
        <v>2788.0249999999996</v>
      </c>
      <c r="I63" s="140"/>
    </row>
    <row r="64" spans="1:9" s="165" customFormat="1">
      <c r="A64" s="169" t="s">
        <v>33</v>
      </c>
      <c r="B64" s="310">
        <f>SUM(B15+B28+B41+B52+B63)</f>
        <v>16432.868999999999</v>
      </c>
      <c r="C64" s="152">
        <f>SUM(C15+C28+C41+C52+C63)</f>
        <v>20534</v>
      </c>
      <c r="D64" s="152">
        <f>SUM(D15+D28+D41+D52+D63)</f>
        <v>23323</v>
      </c>
      <c r="E64" s="152">
        <f>SUM(E15+E28+E41+E52+E63)</f>
        <v>23366</v>
      </c>
      <c r="F64" s="152">
        <f>SUM(F15+F28+F41+F52+F63)</f>
        <v>22860</v>
      </c>
      <c r="G64" s="351">
        <f t="shared" si="7"/>
        <v>0.98014835141276846</v>
      </c>
      <c r="H64" s="152">
        <f>+C64-B64</f>
        <v>4101.1310000000012</v>
      </c>
      <c r="I64" s="140"/>
    </row>
    <row r="65" spans="1:10" ht="15" customHeight="1">
      <c r="A65" s="145"/>
      <c r="B65" s="311"/>
      <c r="C65" s="171"/>
      <c r="D65" s="171"/>
      <c r="E65" s="170"/>
      <c r="F65" s="170"/>
      <c r="G65" s="172"/>
      <c r="H65" s="171"/>
      <c r="I65" s="140"/>
    </row>
    <row r="66" spans="1:10">
      <c r="A66" s="158" t="s">
        <v>73</v>
      </c>
      <c r="B66" s="307"/>
      <c r="C66" s="157"/>
      <c r="D66" s="157"/>
      <c r="E66" s="155"/>
      <c r="F66" s="155"/>
      <c r="G66" s="147"/>
      <c r="H66" s="148"/>
      <c r="I66" s="140"/>
    </row>
    <row r="67" spans="1:10">
      <c r="A67" s="141" t="s">
        <v>34</v>
      </c>
      <c r="B67" s="305">
        <f>[4]Sammanfattning!$C$65</f>
        <v>3098.2770000000005</v>
      </c>
      <c r="C67" s="142">
        <f>SUM(D67-155)</f>
        <v>3447</v>
      </c>
      <c r="D67" s="142">
        <v>3602</v>
      </c>
      <c r="E67" s="142">
        <f>[5]Sammanfattning!$E$65</f>
        <v>3712</v>
      </c>
      <c r="F67" s="142">
        <f>SUM([6]Sammanfattning!$F$65)</f>
        <v>3794</v>
      </c>
      <c r="G67" s="143">
        <f>SUM(F67/D67)</f>
        <v>1.0533037201554691</v>
      </c>
      <c r="H67" s="144">
        <f t="shared" ref="H67:H73" si="9">+C67-B67</f>
        <v>348.7229999999995</v>
      </c>
      <c r="I67" s="140"/>
    </row>
    <row r="68" spans="1:10" s="122" customFormat="1">
      <c r="A68" s="145" t="s">
        <v>74</v>
      </c>
      <c r="B68" s="305">
        <f>[4]Sammanfattning!$C$66</f>
        <v>315.68799999999999</v>
      </c>
      <c r="C68" s="146">
        <f>SUM(D68-150)</f>
        <v>140</v>
      </c>
      <c r="D68" s="146">
        <v>290</v>
      </c>
      <c r="E68" s="146">
        <f>[5]Sammanfattning!$E$66</f>
        <v>310</v>
      </c>
      <c r="F68" s="146">
        <f>SUM([6]Sammanfattning!$F$66)</f>
        <v>375</v>
      </c>
      <c r="G68" s="147">
        <f t="shared" ref="G68:G74" si="10">SUM(F68/D68)</f>
        <v>1.2931034482758621</v>
      </c>
      <c r="H68" s="148">
        <f t="shared" si="9"/>
        <v>-175.68799999999999</v>
      </c>
      <c r="I68" s="140"/>
      <c r="J68" s="149"/>
    </row>
    <row r="69" spans="1:10">
      <c r="A69" s="141" t="s">
        <v>75</v>
      </c>
      <c r="B69" s="305">
        <f>[4]Sammanfattning!$C$67</f>
        <v>443.505</v>
      </c>
      <c r="C69" s="142">
        <f>SUM(D69-100)</f>
        <v>350</v>
      </c>
      <c r="D69" s="142">
        <v>450</v>
      </c>
      <c r="E69" s="142">
        <f>[5]Sammanfattning!$E$67</f>
        <v>450</v>
      </c>
      <c r="F69" s="142">
        <f>SUM([6]Sammanfattning!$F$67)</f>
        <v>475</v>
      </c>
      <c r="G69" s="143">
        <f t="shared" si="10"/>
        <v>1.0555555555555556</v>
      </c>
      <c r="H69" s="144">
        <f t="shared" si="9"/>
        <v>-93.504999999999995</v>
      </c>
      <c r="I69" s="140"/>
      <c r="J69" s="140"/>
    </row>
    <row r="70" spans="1:10" s="122" customFormat="1">
      <c r="A70" s="145" t="s">
        <v>35</v>
      </c>
      <c r="B70" s="305">
        <f>[4]Sammanfattning!$C$68</f>
        <v>313.81099999999998</v>
      </c>
      <c r="C70" s="173">
        <v>310</v>
      </c>
      <c r="D70" s="173">
        <v>310</v>
      </c>
      <c r="E70" s="173">
        <f>[5]Sammanfattning!$E$68</f>
        <v>310</v>
      </c>
      <c r="F70" s="173">
        <f>SUM([6]Sammanfattning!$F$68)</f>
        <v>340</v>
      </c>
      <c r="G70" s="147">
        <f t="shared" si="10"/>
        <v>1.096774193548387</v>
      </c>
      <c r="H70" s="148">
        <f t="shared" si="9"/>
        <v>-3.8109999999999786</v>
      </c>
      <c r="I70" s="140"/>
      <c r="J70" s="149"/>
    </row>
    <row r="71" spans="1:10">
      <c r="A71" s="141" t="s">
        <v>36</v>
      </c>
      <c r="B71" s="305">
        <f>[4]Sammanfattning!$C$69</f>
        <v>591.66</v>
      </c>
      <c r="C71" s="142">
        <v>710</v>
      </c>
      <c r="D71" s="142">
        <v>710</v>
      </c>
      <c r="E71" s="142">
        <f>[5]Sammanfattning!$E$69</f>
        <v>710</v>
      </c>
      <c r="F71" s="142">
        <f>SUM([6]Sammanfattning!$F$69)</f>
        <v>560</v>
      </c>
      <c r="G71" s="143">
        <f t="shared" si="10"/>
        <v>0.78873239436619713</v>
      </c>
      <c r="H71" s="144">
        <f t="shared" si="9"/>
        <v>118.34000000000003</v>
      </c>
      <c r="I71" s="140"/>
      <c r="J71" s="140"/>
    </row>
    <row r="72" spans="1:10" s="122" customFormat="1">
      <c r="A72" s="145" t="s">
        <v>76</v>
      </c>
      <c r="B72" s="305">
        <f>[4]Sammanfattning!$C$70</f>
        <v>16643.910000000003</v>
      </c>
      <c r="C72" s="146">
        <f>SUM(D72-265)</f>
        <v>20370</v>
      </c>
      <c r="D72" s="146">
        <v>20635</v>
      </c>
      <c r="E72" s="146">
        <f>[5]Sammanfattning!$E$70</f>
        <v>20347.019</v>
      </c>
      <c r="F72" s="146">
        <f>SUM([6]Sammanfattning!$F$70)</f>
        <v>20624</v>
      </c>
      <c r="G72" s="147">
        <f t="shared" si="10"/>
        <v>0.99946692512721103</v>
      </c>
      <c r="H72" s="148">
        <f t="shared" si="9"/>
        <v>3726.0899999999965</v>
      </c>
      <c r="I72" s="140"/>
    </row>
    <row r="73" spans="1:10">
      <c r="A73" s="151" t="s">
        <v>17</v>
      </c>
      <c r="B73" s="312">
        <f>SUM(B67:B72)</f>
        <v>21406.851000000002</v>
      </c>
      <c r="C73" s="174">
        <f>SUM(C67:C72)</f>
        <v>25327</v>
      </c>
      <c r="D73" s="174">
        <f>SUM(D67:D72)</f>
        <v>25997</v>
      </c>
      <c r="E73" s="174">
        <f>SUM(E67:E72)</f>
        <v>25839.019</v>
      </c>
      <c r="F73" s="174">
        <f>SUM(F67:F72)</f>
        <v>26168</v>
      </c>
      <c r="G73" s="190">
        <f t="shared" si="10"/>
        <v>1.0065776820402355</v>
      </c>
      <c r="H73" s="168">
        <f t="shared" si="9"/>
        <v>3920.1489999999976</v>
      </c>
      <c r="I73" s="140"/>
    </row>
    <row r="74" spans="1:10" s="176" customFormat="1">
      <c r="A74" s="177" t="s">
        <v>37</v>
      </c>
      <c r="B74" s="312">
        <f>SUM(B64+B73)</f>
        <v>37839.72</v>
      </c>
      <c r="C74" s="178">
        <f>SUM(C64+C73)</f>
        <v>45861</v>
      </c>
      <c r="D74" s="174">
        <f>SUM(D64+D73)</f>
        <v>49320</v>
      </c>
      <c r="E74" s="183">
        <f>SUM(E64+E73)</f>
        <v>49205.019</v>
      </c>
      <c r="F74" s="183">
        <f>SUM(F64+F73)</f>
        <v>49028</v>
      </c>
      <c r="G74" s="352">
        <f t="shared" si="10"/>
        <v>0.99407948094079479</v>
      </c>
      <c r="H74" s="343">
        <f>SUM(H64+H73)</f>
        <v>8021.2799999999988</v>
      </c>
      <c r="I74" s="140"/>
    </row>
    <row r="75" spans="1:10" s="176" customFormat="1" ht="15.75" customHeight="1">
      <c r="A75" s="179"/>
      <c r="B75" s="313"/>
      <c r="C75" s="175"/>
      <c r="D75" s="175"/>
      <c r="E75" s="175"/>
      <c r="F75" s="175"/>
      <c r="G75" s="172"/>
      <c r="H75" s="171"/>
      <c r="I75" s="140"/>
    </row>
    <row r="76" spans="1:10">
      <c r="A76" s="182" t="s">
        <v>77</v>
      </c>
      <c r="B76" s="307"/>
      <c r="C76" s="157"/>
      <c r="D76" s="157"/>
      <c r="E76" s="155"/>
      <c r="F76" s="155"/>
      <c r="G76" s="147"/>
      <c r="H76" s="148"/>
      <c r="I76" s="140"/>
    </row>
    <row r="77" spans="1:10">
      <c r="A77" s="154" t="s">
        <v>78</v>
      </c>
      <c r="B77" s="309">
        <f>[4]Sammanfattning!$C$77</f>
        <v>21095</v>
      </c>
      <c r="C77" s="157">
        <f>SUM(D77-2295)</f>
        <v>22260</v>
      </c>
      <c r="D77" s="157">
        <v>24555</v>
      </c>
      <c r="E77" s="146">
        <f>[5]Sammanfattning!$E$77</f>
        <v>23895</v>
      </c>
      <c r="F77" s="146">
        <f>SUM([6]Sammanfattning!$F$77)</f>
        <v>24745</v>
      </c>
      <c r="G77" s="147">
        <f>SUM(F77/D77)</f>
        <v>1.0077377316228875</v>
      </c>
      <c r="H77" s="148">
        <f>+C77-B77</f>
        <v>1165</v>
      </c>
      <c r="I77" s="140"/>
    </row>
    <row r="78" spans="1:10">
      <c r="A78" s="353" t="s">
        <v>151</v>
      </c>
      <c r="B78" s="309">
        <f>[4]Sammanfattning!$C$78</f>
        <v>218.80600000000001</v>
      </c>
      <c r="C78" s="162">
        <v>0</v>
      </c>
      <c r="D78" s="162">
        <v>0</v>
      </c>
      <c r="E78" s="142">
        <f>[5]Sammanfattning!$E$78</f>
        <v>458</v>
      </c>
      <c r="F78" s="142">
        <f>SUM([6]Sammanfattning!$F$78)</f>
        <v>458</v>
      </c>
      <c r="G78" s="143" t="e">
        <f>SUM(F78/D78)</f>
        <v>#DIV/0!</v>
      </c>
      <c r="H78" s="144">
        <f>+C78-B78</f>
        <v>-218.80600000000001</v>
      </c>
      <c r="I78" s="140"/>
    </row>
    <row r="79" spans="1:10">
      <c r="A79" s="145" t="s">
        <v>98</v>
      </c>
      <c r="B79" s="309">
        <f>[4]Sammanfattning!$C$79</f>
        <v>171.93700000000001</v>
      </c>
      <c r="C79" s="146">
        <v>120</v>
      </c>
      <c r="D79" s="146">
        <v>120</v>
      </c>
      <c r="E79" s="146">
        <f>[5]Sammanfattning!$E$79</f>
        <v>140</v>
      </c>
      <c r="F79" s="146">
        <f>SUM([6]Sammanfattning!$F$79)</f>
        <v>195</v>
      </c>
      <c r="G79" s="147">
        <f>SUM(F79/D79)</f>
        <v>1.625</v>
      </c>
      <c r="H79" s="148">
        <f>+C79-B79</f>
        <v>-51.937000000000012</v>
      </c>
      <c r="I79" s="140"/>
    </row>
    <row r="80" spans="1:10">
      <c r="A80" s="151" t="s">
        <v>17</v>
      </c>
      <c r="B80" s="306">
        <f>SUM(B77:B79)</f>
        <v>21485.743000000002</v>
      </c>
      <c r="C80" s="152">
        <f>SUM(C77:C79)</f>
        <v>22380</v>
      </c>
      <c r="D80" s="152">
        <f>SUM(D77:D79)</f>
        <v>24675</v>
      </c>
      <c r="E80" s="152">
        <f>SUM(E77:E79)</f>
        <v>24493</v>
      </c>
      <c r="F80" s="152">
        <f>SUM(F77:F79)</f>
        <v>25398</v>
      </c>
      <c r="G80" s="190">
        <f>SUM(F80/D80)</f>
        <v>1.0293009118541034</v>
      </c>
      <c r="H80" s="168">
        <f>SUM(H77:H79)</f>
        <v>894.25699999999995</v>
      </c>
      <c r="I80" s="140"/>
      <c r="J80" s="140"/>
    </row>
    <row r="81" spans="1:10">
      <c r="A81" s="177" t="s">
        <v>79</v>
      </c>
      <c r="B81" s="306">
        <f>SUM(B80)</f>
        <v>21485.743000000002</v>
      </c>
      <c r="C81" s="152">
        <f>SUM(C80)</f>
        <v>22380</v>
      </c>
      <c r="D81" s="152">
        <f>SUM(D80)</f>
        <v>24675</v>
      </c>
      <c r="E81" s="343">
        <f>SUM(E80)</f>
        <v>24493</v>
      </c>
      <c r="F81" s="343">
        <f>SUM(F80)</f>
        <v>25398</v>
      </c>
      <c r="G81" s="352">
        <f>SUM(F81/D81)</f>
        <v>1.0293009118541034</v>
      </c>
      <c r="H81" s="342">
        <f>+C81-B81</f>
        <v>894.25699999999779</v>
      </c>
      <c r="I81" s="140"/>
      <c r="J81" s="140"/>
    </row>
    <row r="82" spans="1:10" s="176" customFormat="1">
      <c r="A82" s="145"/>
      <c r="B82" s="314"/>
      <c r="C82" s="181"/>
      <c r="D82" s="181"/>
      <c r="E82" s="180"/>
      <c r="F82" s="180"/>
      <c r="G82" s="172"/>
      <c r="H82" s="181"/>
      <c r="I82" s="140"/>
    </row>
    <row r="83" spans="1:10">
      <c r="A83" s="268" t="s">
        <v>38</v>
      </c>
      <c r="B83" s="315">
        <f>SUM(B74+B81)</f>
        <v>59325.463000000003</v>
      </c>
      <c r="C83" s="183">
        <f>SUM(C74+C81)</f>
        <v>68241</v>
      </c>
      <c r="D83" s="183">
        <f>SUM(D74+D81)</f>
        <v>73995</v>
      </c>
      <c r="E83" s="183">
        <f>SUM(E74+E81)</f>
        <v>73698.019</v>
      </c>
      <c r="F83" s="183">
        <f>SUM(F74+F81)</f>
        <v>74426</v>
      </c>
      <c r="G83" s="352">
        <f>SUM(F83/D83)</f>
        <v>1.0058247178863438</v>
      </c>
      <c r="H83" s="183">
        <f>SUM(C83-B83)</f>
        <v>8915.5369999999966</v>
      </c>
      <c r="I83" s="140"/>
    </row>
    <row r="84" spans="1:10">
      <c r="A84" s="179"/>
      <c r="B84" s="175"/>
      <c r="C84" s="175"/>
      <c r="D84" s="175"/>
      <c r="E84" s="175"/>
      <c r="F84" s="175"/>
      <c r="G84" s="172"/>
      <c r="H84" s="175"/>
      <c r="I84" s="140"/>
    </row>
    <row r="85" spans="1:10">
      <c r="A85" s="182" t="s">
        <v>39</v>
      </c>
      <c r="B85" s="185"/>
      <c r="C85" s="185"/>
      <c r="D85" s="186"/>
      <c r="E85" s="192"/>
      <c r="F85" s="192"/>
      <c r="G85" s="172"/>
      <c r="H85" s="184"/>
      <c r="I85" s="140"/>
    </row>
    <row r="86" spans="1:10">
      <c r="A86" s="182" t="s">
        <v>40</v>
      </c>
      <c r="B86" s="319">
        <f>SUM(B64)</f>
        <v>16432.868999999999</v>
      </c>
      <c r="C86" s="320">
        <f>SUM(C64)</f>
        <v>20534</v>
      </c>
      <c r="D86" s="320">
        <f>SUM(D64)</f>
        <v>23323</v>
      </c>
      <c r="E86" s="320">
        <f>SUM(E64)</f>
        <v>23366</v>
      </c>
      <c r="F86" s="320">
        <f>SUM(F64)</f>
        <v>22860</v>
      </c>
      <c r="G86" s="341">
        <f t="shared" ref="G86:G91" si="11">SUM(F86/D86)</f>
        <v>0.98014835141276846</v>
      </c>
      <c r="H86" s="320">
        <f>+C86-B86</f>
        <v>4101.1310000000012</v>
      </c>
      <c r="I86" s="140"/>
    </row>
    <row r="87" spans="1:10">
      <c r="A87" s="154" t="s">
        <v>41</v>
      </c>
      <c r="B87" s="316">
        <f>SUM(B73-B72)</f>
        <v>4762.9409999999989</v>
      </c>
      <c r="C87" s="187">
        <f>SUM(C67+C68+C69+C70+C71)</f>
        <v>4957</v>
      </c>
      <c r="D87" s="187">
        <f>SUM(D73-D72)</f>
        <v>5362</v>
      </c>
      <c r="E87" s="187">
        <f>SUM(E73-E72)</f>
        <v>5492</v>
      </c>
      <c r="F87" s="187">
        <f>SUM(F73-F72)</f>
        <v>5544</v>
      </c>
      <c r="G87" s="147">
        <f t="shared" si="11"/>
        <v>1.0339425587467364</v>
      </c>
      <c r="H87" s="187">
        <f>+C87-B87</f>
        <v>194.05900000000111</v>
      </c>
      <c r="I87" s="140"/>
    </row>
    <row r="88" spans="1:10">
      <c r="A88" s="154" t="s">
        <v>6</v>
      </c>
      <c r="B88" s="316">
        <f>SUM(B72)</f>
        <v>16643.910000000003</v>
      </c>
      <c r="C88" s="187">
        <f>SUM(C72)</f>
        <v>20370</v>
      </c>
      <c r="D88" s="187">
        <f>SUM(D72)</f>
        <v>20635</v>
      </c>
      <c r="E88" s="187">
        <f>SUM(E72)</f>
        <v>20347.019</v>
      </c>
      <c r="F88" s="187">
        <f>SUM(F72)</f>
        <v>20624</v>
      </c>
      <c r="G88" s="147">
        <f>SUM(F88/D88)</f>
        <v>0.99946692512721103</v>
      </c>
      <c r="H88" s="187">
        <f>+C88-B88</f>
        <v>3726.0899999999965</v>
      </c>
      <c r="I88" s="140"/>
    </row>
    <row r="89" spans="1:10">
      <c r="A89" s="182" t="s">
        <v>7</v>
      </c>
      <c r="B89" s="317">
        <f>SUM(B74)</f>
        <v>37839.72</v>
      </c>
      <c r="C89" s="188">
        <f>SUM(C74)</f>
        <v>45861</v>
      </c>
      <c r="D89" s="188">
        <f>SUM(D74)</f>
        <v>49320</v>
      </c>
      <c r="E89" s="188">
        <f>SUM(E74)</f>
        <v>49205.019</v>
      </c>
      <c r="F89" s="188">
        <f>SUM(F74)</f>
        <v>49028</v>
      </c>
      <c r="G89" s="147">
        <f t="shared" si="11"/>
        <v>0.99407948094079479</v>
      </c>
      <c r="H89" s="188">
        <f>+C89-B89</f>
        <v>8021.2799999999988</v>
      </c>
      <c r="I89" s="140"/>
    </row>
    <row r="90" spans="1:10">
      <c r="A90" s="182" t="s">
        <v>80</v>
      </c>
      <c r="B90" s="318">
        <f>SUM(B81)</f>
        <v>21485.743000000002</v>
      </c>
      <c r="C90" s="189">
        <f>SUM(C81)</f>
        <v>22380</v>
      </c>
      <c r="D90" s="189">
        <f>SUM(D80)</f>
        <v>24675</v>
      </c>
      <c r="E90" s="189">
        <f>SUM(E80)</f>
        <v>24493</v>
      </c>
      <c r="F90" s="189">
        <f>SUM(F80)</f>
        <v>25398</v>
      </c>
      <c r="G90" s="147">
        <f t="shared" si="11"/>
        <v>1.0293009118541034</v>
      </c>
      <c r="H90" s="189">
        <f>+C90-B90</f>
        <v>894.25699999999779</v>
      </c>
      <c r="I90" s="140"/>
    </row>
    <row r="91" spans="1:10">
      <c r="A91" s="191" t="s">
        <v>38</v>
      </c>
      <c r="B91" s="312">
        <f>+B89+B90</f>
        <v>59325.463000000003</v>
      </c>
      <c r="C91" s="174">
        <f>SUM(C89+C90)</f>
        <v>68241</v>
      </c>
      <c r="D91" s="174">
        <f>SUM(D89:D90)</f>
        <v>73995</v>
      </c>
      <c r="E91" s="174">
        <f>SUM(E89:E90)</f>
        <v>73698.019</v>
      </c>
      <c r="F91" s="174">
        <f>SUM(F89:F90)</f>
        <v>74426</v>
      </c>
      <c r="G91" s="352">
        <f t="shared" si="11"/>
        <v>1.0058247178863438</v>
      </c>
      <c r="H91" s="174">
        <f>+H89+H90</f>
        <v>8915.5369999999966</v>
      </c>
      <c r="I91" s="140"/>
    </row>
    <row r="92" spans="1:10" ht="6" customHeight="1">
      <c r="A92" s="182"/>
      <c r="B92" s="185"/>
      <c r="C92" s="192"/>
      <c r="D92" s="184"/>
      <c r="E92" s="186"/>
      <c r="F92" s="186"/>
      <c r="G92" s="186"/>
      <c r="H92" s="186"/>
    </row>
    <row r="93" spans="1:10">
      <c r="A93" s="182" t="s">
        <v>99</v>
      </c>
      <c r="B93" s="185"/>
      <c r="C93" s="192"/>
      <c r="D93" s="192"/>
      <c r="E93" s="185"/>
      <c r="F93" s="185"/>
      <c r="G93" s="193"/>
      <c r="H93" s="185"/>
    </row>
    <row r="94" spans="1:10">
      <c r="A94" s="194"/>
      <c r="B94" s="185"/>
      <c r="C94" s="185"/>
      <c r="D94" s="185"/>
      <c r="E94" s="185"/>
      <c r="F94" s="185"/>
      <c r="G94" s="193"/>
      <c r="H94" s="185"/>
    </row>
    <row r="95" spans="1:10">
      <c r="A95" s="194"/>
      <c r="B95" s="185"/>
      <c r="C95" s="302"/>
      <c r="D95" s="185"/>
      <c r="E95" s="185"/>
      <c r="F95" s="185"/>
      <c r="G95" s="193"/>
      <c r="H95" s="185"/>
    </row>
    <row r="96" spans="1:10">
      <c r="A96" s="195"/>
      <c r="B96" s="185"/>
      <c r="C96" s="185"/>
      <c r="D96" s="185"/>
      <c r="E96" s="185"/>
      <c r="F96" s="185"/>
      <c r="G96" s="193"/>
      <c r="H96" s="185"/>
    </row>
    <row r="97" spans="1:8">
      <c r="A97" s="126"/>
      <c r="B97" s="185"/>
      <c r="C97" s="196"/>
      <c r="D97" s="185"/>
      <c r="E97" s="185"/>
      <c r="F97" s="185"/>
      <c r="G97" s="193"/>
      <c r="H97" s="196"/>
    </row>
    <row r="98" spans="1:8">
      <c r="A98" s="126"/>
      <c r="B98" s="185"/>
      <c r="C98" s="196"/>
      <c r="D98" s="185"/>
      <c r="E98" s="185"/>
      <c r="F98" s="185"/>
      <c r="G98" s="193"/>
      <c r="H98" s="196"/>
    </row>
    <row r="99" spans="1:8">
      <c r="A99" s="126"/>
      <c r="B99" s="185"/>
      <c r="C99" s="196"/>
      <c r="D99" s="185"/>
      <c r="E99" s="185"/>
      <c r="F99" s="185"/>
      <c r="G99" s="193"/>
      <c r="H99" s="196"/>
    </row>
    <row r="100" spans="1:8">
      <c r="A100" s="126"/>
      <c r="B100" s="185"/>
      <c r="C100" s="196"/>
      <c r="D100" s="185"/>
      <c r="E100" s="185"/>
      <c r="F100" s="185"/>
      <c r="G100" s="197"/>
      <c r="H100" s="196"/>
    </row>
    <row r="101" spans="1:8">
      <c r="A101" s="126"/>
      <c r="B101" s="185"/>
      <c r="C101" s="196"/>
      <c r="D101" s="185"/>
      <c r="E101" s="185"/>
      <c r="F101" s="185"/>
      <c r="G101" s="197"/>
      <c r="H101" s="196"/>
    </row>
    <row r="102" spans="1:8">
      <c r="A102" s="126"/>
      <c r="B102" s="185"/>
      <c r="C102" s="196"/>
      <c r="D102" s="185"/>
      <c r="E102" s="185"/>
      <c r="F102" s="185"/>
      <c r="G102" s="197"/>
      <c r="H102" s="196"/>
    </row>
    <row r="103" spans="1:8">
      <c r="A103" s="126"/>
      <c r="B103" s="185"/>
      <c r="C103" s="196"/>
      <c r="D103" s="185"/>
      <c r="E103" s="185"/>
      <c r="F103" s="185"/>
      <c r="G103" s="197"/>
      <c r="H103" s="196"/>
    </row>
    <row r="104" spans="1:8">
      <c r="A104" s="126"/>
      <c r="B104" s="185"/>
      <c r="C104" s="196"/>
      <c r="D104" s="185"/>
      <c r="E104" s="185"/>
      <c r="F104" s="185"/>
      <c r="G104" s="197"/>
      <c r="H104" s="196"/>
    </row>
    <row r="105" spans="1:8">
      <c r="A105" s="126"/>
      <c r="B105" s="185"/>
      <c r="C105" s="196"/>
      <c r="D105" s="185"/>
      <c r="E105" s="185"/>
      <c r="F105" s="185"/>
      <c r="G105" s="197"/>
      <c r="H105" s="196"/>
    </row>
    <row r="106" spans="1:8">
      <c r="A106" s="126"/>
      <c r="B106" s="185"/>
      <c r="C106" s="196"/>
      <c r="D106" s="185"/>
      <c r="E106" s="185"/>
      <c r="F106" s="185"/>
      <c r="G106" s="197"/>
      <c r="H106" s="196"/>
    </row>
    <row r="107" spans="1:8">
      <c r="A107" s="126"/>
      <c r="B107" s="185"/>
      <c r="C107" s="196"/>
      <c r="D107" s="185"/>
      <c r="E107" s="185"/>
      <c r="F107" s="185"/>
      <c r="G107" s="197"/>
      <c r="H107" s="196"/>
    </row>
    <row r="108" spans="1:8">
      <c r="A108" s="126"/>
      <c r="B108" s="185"/>
      <c r="C108" s="196"/>
      <c r="D108" s="185"/>
      <c r="E108" s="185"/>
      <c r="F108" s="185"/>
      <c r="G108" s="197"/>
      <c r="H108" s="196"/>
    </row>
    <row r="109" spans="1:8">
      <c r="A109" s="126"/>
      <c r="B109" s="185"/>
      <c r="C109" s="196"/>
      <c r="D109" s="185"/>
      <c r="E109" s="185"/>
      <c r="F109" s="185"/>
      <c r="G109" s="197"/>
      <c r="H109" s="196"/>
    </row>
    <row r="110" spans="1:8">
      <c r="A110" s="126"/>
      <c r="B110" s="185"/>
      <c r="C110" s="196"/>
      <c r="D110" s="185"/>
      <c r="E110" s="185"/>
      <c r="F110" s="185"/>
      <c r="G110" s="197"/>
      <c r="H110" s="196"/>
    </row>
    <row r="111" spans="1:8">
      <c r="A111" s="126"/>
      <c r="B111" s="185"/>
      <c r="C111" s="196"/>
      <c r="D111" s="185"/>
      <c r="E111" s="185"/>
      <c r="F111" s="185"/>
      <c r="G111" s="197"/>
      <c r="H111" s="196"/>
    </row>
    <row r="112" spans="1:8">
      <c r="A112" s="126"/>
      <c r="B112" s="185"/>
      <c r="C112" s="196"/>
      <c r="D112" s="185"/>
      <c r="E112" s="185"/>
      <c r="F112" s="185"/>
      <c r="G112" s="197"/>
      <c r="H112" s="196"/>
    </row>
    <row r="113" spans="2:2">
      <c r="B113" s="121"/>
    </row>
    <row r="114" spans="2:2">
      <c r="B114" s="121"/>
    </row>
    <row r="115" spans="2:2">
      <c r="B115" s="121"/>
    </row>
    <row r="116" spans="2:2">
      <c r="B116" s="121"/>
    </row>
    <row r="117" spans="2:2">
      <c r="B117" s="121"/>
    </row>
    <row r="118" spans="2:2">
      <c r="B118" s="121"/>
    </row>
    <row r="119" spans="2:2">
      <c r="B119" s="121"/>
    </row>
    <row r="120" spans="2:2">
      <c r="B120" s="121"/>
    </row>
    <row r="121" spans="2:2">
      <c r="B121" s="121"/>
    </row>
    <row r="122" spans="2:2">
      <c r="B122" s="121"/>
    </row>
    <row r="123" spans="2:2">
      <c r="B123" s="121"/>
    </row>
    <row r="124" spans="2:2">
      <c r="B124" s="121"/>
    </row>
    <row r="125" spans="2:2">
      <c r="B125" s="121"/>
    </row>
    <row r="126" spans="2:2">
      <c r="B126" s="121"/>
    </row>
    <row r="127" spans="2:2">
      <c r="B127" s="121"/>
    </row>
    <row r="128" spans="2:2">
      <c r="B128" s="121"/>
    </row>
    <row r="129" spans="2:2">
      <c r="B129" s="121"/>
    </row>
    <row r="130" spans="2:2">
      <c r="B130" s="121"/>
    </row>
    <row r="131" spans="2:2">
      <c r="B131" s="121"/>
    </row>
    <row r="132" spans="2:2">
      <c r="B132" s="121"/>
    </row>
    <row r="133" spans="2:2">
      <c r="B133" s="121"/>
    </row>
    <row r="134" spans="2:2">
      <c r="B134" s="121"/>
    </row>
    <row r="135" spans="2:2">
      <c r="B135" s="121"/>
    </row>
    <row r="136" spans="2:2">
      <c r="B136" s="121"/>
    </row>
    <row r="137" spans="2:2">
      <c r="B137" s="121"/>
    </row>
    <row r="138" spans="2:2">
      <c r="B138" s="121"/>
    </row>
    <row r="139" spans="2:2">
      <c r="B139" s="121"/>
    </row>
    <row r="140" spans="2:2">
      <c r="B140" s="121"/>
    </row>
    <row r="141" spans="2:2">
      <c r="B141" s="121"/>
    </row>
    <row r="142" spans="2:2">
      <c r="B142" s="121"/>
    </row>
    <row r="143" spans="2:2">
      <c r="B143" s="121"/>
    </row>
    <row r="144" spans="2:2">
      <c r="B144" s="121"/>
    </row>
    <row r="145" spans="2:2">
      <c r="B145" s="121"/>
    </row>
    <row r="146" spans="2:2">
      <c r="B146" s="121"/>
    </row>
    <row r="147" spans="2:2">
      <c r="B147" s="121"/>
    </row>
    <row r="148" spans="2:2">
      <c r="B148" s="121"/>
    </row>
    <row r="149" spans="2:2">
      <c r="B149" s="121"/>
    </row>
    <row r="150" spans="2:2">
      <c r="B150" s="121"/>
    </row>
    <row r="151" spans="2:2">
      <c r="B151" s="121"/>
    </row>
    <row r="152" spans="2:2">
      <c r="B152" s="121"/>
    </row>
    <row r="153" spans="2:2">
      <c r="B153" s="121"/>
    </row>
    <row r="154" spans="2:2">
      <c r="B154" s="121"/>
    </row>
    <row r="155" spans="2:2">
      <c r="B155" s="121"/>
    </row>
    <row r="156" spans="2:2">
      <c r="B156" s="121"/>
    </row>
    <row r="157" spans="2:2">
      <c r="B157" s="121"/>
    </row>
    <row r="158" spans="2:2">
      <c r="B158" s="121"/>
    </row>
    <row r="159" spans="2:2">
      <c r="B159" s="121"/>
    </row>
    <row r="160" spans="2:2">
      <c r="B160" s="121"/>
    </row>
    <row r="161" spans="2:2">
      <c r="B161" s="121"/>
    </row>
    <row r="162" spans="2:2">
      <c r="B162" s="121"/>
    </row>
    <row r="163" spans="2:2">
      <c r="B163" s="121"/>
    </row>
    <row r="164" spans="2:2">
      <c r="B164" s="121"/>
    </row>
    <row r="165" spans="2:2">
      <c r="B165" s="121"/>
    </row>
    <row r="166" spans="2:2">
      <c r="B166" s="121"/>
    </row>
    <row r="167" spans="2:2">
      <c r="B167" s="121"/>
    </row>
    <row r="168" spans="2:2">
      <c r="B168" s="121"/>
    </row>
    <row r="169" spans="2:2">
      <c r="B169" s="121"/>
    </row>
    <row r="170" spans="2:2">
      <c r="B170" s="121"/>
    </row>
    <row r="171" spans="2:2">
      <c r="B171" s="121"/>
    </row>
    <row r="172" spans="2:2">
      <c r="B172" s="121"/>
    </row>
    <row r="173" spans="2:2">
      <c r="B173" s="121"/>
    </row>
    <row r="174" spans="2:2">
      <c r="B174" s="121"/>
    </row>
    <row r="175" spans="2:2">
      <c r="B175" s="121"/>
    </row>
    <row r="176" spans="2:2">
      <c r="B176" s="121"/>
    </row>
    <row r="177" spans="2:2">
      <c r="B177" s="121"/>
    </row>
    <row r="178" spans="2:2">
      <c r="B178" s="121"/>
    </row>
    <row r="179" spans="2:2">
      <c r="B179" s="121"/>
    </row>
    <row r="180" spans="2:2">
      <c r="B180" s="121"/>
    </row>
    <row r="181" spans="2:2">
      <c r="B181" s="121"/>
    </row>
    <row r="182" spans="2:2">
      <c r="B182" s="121"/>
    </row>
    <row r="183" spans="2:2">
      <c r="B183" s="121"/>
    </row>
    <row r="184" spans="2:2">
      <c r="B184" s="121"/>
    </row>
    <row r="185" spans="2:2">
      <c r="B185" s="121"/>
    </row>
    <row r="186" spans="2:2">
      <c r="B186" s="121"/>
    </row>
    <row r="187" spans="2:2">
      <c r="B187" s="121"/>
    </row>
    <row r="188" spans="2:2">
      <c r="B188" s="121"/>
    </row>
    <row r="189" spans="2:2">
      <c r="B189" s="121"/>
    </row>
    <row r="190" spans="2:2">
      <c r="B190" s="121"/>
    </row>
    <row r="191" spans="2:2">
      <c r="B191" s="121"/>
    </row>
    <row r="192" spans="2:2">
      <c r="B192" s="121"/>
    </row>
    <row r="193" spans="2:2">
      <c r="B193" s="121"/>
    </row>
    <row r="194" spans="2:2">
      <c r="B194" s="121"/>
    </row>
    <row r="195" spans="2:2">
      <c r="B195" s="121"/>
    </row>
    <row r="196" spans="2:2">
      <c r="B196" s="121"/>
    </row>
    <row r="197" spans="2:2">
      <c r="B197" s="121"/>
    </row>
    <row r="198" spans="2:2">
      <c r="B198" s="121"/>
    </row>
    <row r="199" spans="2:2">
      <c r="B199" s="121"/>
    </row>
    <row r="200" spans="2:2">
      <c r="B200" s="121"/>
    </row>
    <row r="201" spans="2:2">
      <c r="B201" s="121"/>
    </row>
    <row r="202" spans="2:2">
      <c r="B202" s="121"/>
    </row>
    <row r="203" spans="2:2">
      <c r="B203" s="121"/>
    </row>
    <row r="204" spans="2:2">
      <c r="B204" s="121"/>
    </row>
    <row r="205" spans="2:2">
      <c r="B205" s="121"/>
    </row>
    <row r="206" spans="2:2">
      <c r="B206" s="121"/>
    </row>
    <row r="207" spans="2:2">
      <c r="B207" s="121"/>
    </row>
    <row r="208" spans="2:2">
      <c r="B208" s="121"/>
    </row>
    <row r="209" spans="2:2">
      <c r="B209" s="121"/>
    </row>
    <row r="210" spans="2:2">
      <c r="B210" s="121"/>
    </row>
    <row r="211" spans="2:2">
      <c r="B211" s="121"/>
    </row>
    <row r="212" spans="2:2">
      <c r="B212" s="121"/>
    </row>
    <row r="213" spans="2:2">
      <c r="B213" s="121"/>
    </row>
    <row r="214" spans="2:2">
      <c r="B214" s="121"/>
    </row>
    <row r="215" spans="2:2">
      <c r="B215" s="121"/>
    </row>
    <row r="216" spans="2:2">
      <c r="B216" s="121"/>
    </row>
    <row r="217" spans="2:2">
      <c r="B217" s="121"/>
    </row>
    <row r="218" spans="2:2">
      <c r="B218" s="121"/>
    </row>
  </sheetData>
  <customSheetViews>
    <customSheetView guid="{763437CC-26D4-4164-810A-C9635FD11083}" showGridLines="0">
      <pane ySplit="5" topLeftCell="A57" activePane="bottomLeft" state="frozen"/>
      <selection pane="bottomLeft" activeCell="F83" sqref="F83"/>
      <pageMargins left="0.59055118110236227" right="0.59055118110236227" top="0.47" bottom="0.27" header="0.51181102362204722" footer="0.17"/>
      <pageSetup paperSize="9" scale="67" fitToHeight="2" orientation="portrait" r:id="rId1"/>
      <headerFooter alignWithMargins="0"/>
    </customSheetView>
    <customSheetView guid="{9C92D4E2-4DB1-4DE8-9035-495C8A323D7B}" showPageBreaks="1" showGridLines="0" showRuler="0">
      <pane ySplit="5" topLeftCell="A30" activePane="bottomLeft" state="frozen"/>
      <selection pane="bottomLeft" activeCell="K20" sqref="K20"/>
      <pageMargins left="0.59055118110236227" right="0.59055118110236227" top="0.47" bottom="0.27" header="0.51181102362204722" footer="0.17"/>
      <pageSetup paperSize="9" scale="67" fitToHeight="2" orientation="portrait" r:id="rId2"/>
      <headerFooter alignWithMargins="0"/>
    </customSheetView>
    <customSheetView guid="{1EDB9987-0F37-49A1-B796-5C7B79F3B490}" showPageBreaks="1" showGridLines="0" printArea="1" hiddenColumns="1" showRuler="0">
      <pane ySplit="5" topLeftCell="A63" activePane="bottomLeft" state="frozen"/>
      <selection pane="bottomLeft" activeCell="F97" sqref="F97"/>
      <pageMargins left="0.59055118110236227" right="0.59055118110236227" top="0.47" bottom="0.27" header="0.51181102362204722" footer="0.17"/>
      <pageSetup paperSize="9" scale="67" fitToHeight="2" orientation="portrait" r:id="rId3"/>
      <headerFooter alignWithMargins="0"/>
    </customSheetView>
    <customSheetView guid="{DE0C6F0D-7C2F-4B97-AA16-0EC5D85A2B96}" showPageBreaks="1" showGridLines="0">
      <pane ySplit="5" topLeftCell="A42" activePane="bottomLeft" state="frozen"/>
      <selection pane="bottomLeft" activeCell="F1" sqref="F1:F65536"/>
      <pageMargins left="0.59055118110236227" right="0.59055118110236227" top="0.47" bottom="0.27" header="0.51181102362204722" footer="0.17"/>
      <pageSetup paperSize="9" scale="67" fitToHeight="2" orientation="portrait" r:id="rId4"/>
      <headerFooter alignWithMargins="0"/>
    </customSheetView>
  </customSheetViews>
  <phoneticPr fontId="21" type="noConversion"/>
  <printOptions gridLinesSet="0"/>
  <pageMargins left="0.59055118110236227" right="0.59055118110236227" top="0.47" bottom="0.27" header="0.51181102362204722" footer="0.17"/>
  <pageSetup paperSize="9" scale="67" fitToHeight="2" orientation="portrait" r:id="rId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4</vt:i4>
      </vt:variant>
    </vt:vector>
  </HeadingPairs>
  <TitlesOfParts>
    <vt:vector size="7" baseType="lpstr">
      <vt:lpstr>Sammanfattning bil 1</vt:lpstr>
      <vt:lpstr>Intäkter bil 2</vt:lpstr>
      <vt:lpstr>Kostnader bil 3</vt:lpstr>
      <vt:lpstr>'Intäkter bil 2'!Res.rapport</vt:lpstr>
      <vt:lpstr>'Intäkter bil 2'!Utskriftsområde</vt:lpstr>
      <vt:lpstr>'Kostnader bil 3'!Utskriftsområde</vt:lpstr>
      <vt:lpstr>'Sammanfattning bil 1'!Utskriftsområde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Wesslenius</dc:creator>
  <cp:lastModifiedBy>dunder</cp:lastModifiedBy>
  <cp:lastPrinted>2010-11-18T12:26:59Z</cp:lastPrinted>
  <dcterms:created xsi:type="dcterms:W3CDTF">1999-09-02T09:23:55Z</dcterms:created>
  <dcterms:modified xsi:type="dcterms:W3CDTF">2010-11-18T15:45:43Z</dcterms:modified>
</cp:coreProperties>
</file>